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mc:AlternateContent xmlns:mc="http://schemas.openxmlformats.org/markup-compatibility/2006">
    <mc:Choice Requires="x15">
      <x15ac:absPath xmlns:x15ac="http://schemas.microsoft.com/office/spreadsheetml/2010/11/ac" url="C:\Users\Lenovo\Downloads\"/>
    </mc:Choice>
  </mc:AlternateContent>
  <xr:revisionPtr revIDLastSave="0" documentId="13_ncr:1_{E4D1913C-2832-4FF7-B623-3CBDB3A941B4}" xr6:coauthVersionLast="47" xr6:coauthVersionMax="47" xr10:uidLastSave="{00000000-0000-0000-0000-000000000000}"/>
  <bookViews>
    <workbookView xWindow="-120" yWindow="-120" windowWidth="19440" windowHeight="15000" tabRatio="803" xr2:uid="{00000000-000D-0000-FFFF-FFFF00000000}"/>
  </bookViews>
  <sheets>
    <sheet name="Használati útmutató" sheetId="11" r:id="rId1"/>
    <sheet name="Karakterlap" sheetId="5" r:id="rId2"/>
    <sheet name="Szarmaztatas" sheetId="7" state="hidden" r:id="rId3"/>
    <sheet name="EH" sheetId="6" state="hidden" r:id="rId4"/>
    <sheet name="Nyomtatható" sheetId="14" r:id="rId5"/>
    <sheet name="Előnyök" sheetId="3" r:id="rId6"/>
    <sheet name="Hátrányok" sheetId="4" r:id="rId7"/>
    <sheet name="Kapcsolati tábla" sheetId="12" r:id="rId8"/>
    <sheet name="Fókuszeszköz" sheetId="10" r:id="rId9"/>
    <sheet name="Tapasztalati pontok" sheetId="8" r:id="rId10"/>
    <sheet name="Alképzettségek" sheetId="9" r:id="rId11"/>
    <sheet name="Célszámok és fáradás" sheetId="13" r:id="rId12"/>
    <sheet name="Előtörténet" sheetId="15" r:id="rId13"/>
    <sheet name="Változtatni!" sheetId="2" state="hidden" r:id="rId14"/>
  </sheets>
  <definedNames>
    <definedName name="_xlnm._FilterDatabase" localSheetId="5" hidden="1">Előnyök!$A$1:$CU$132</definedName>
    <definedName name="_xlnm._FilterDatabase" localSheetId="8" hidden="1">Fókuszeszköz!$F$1:$I$53</definedName>
    <definedName name="_xlnm._FilterDatabase" localSheetId="6" hidden="1">Hátrányok!$A$1:$Y$131</definedName>
    <definedName name="_xlnm._FilterDatabase" localSheetId="1" hidden="1">Karakterlap!#REF!</definedName>
    <definedName name="bazis">Fókuszeszköz!$F$2:$F$36</definedName>
    <definedName name="bazis2">Fókuszeszköz!$F$2:$F$36</definedName>
    <definedName name="ejleny">Szarmaztatas!$S$22:$S$24</definedName>
    <definedName name="ejlenye">EH!$F$2:$F$249</definedName>
    <definedName name="ejlenyh">EH!$O$2:$O$309</definedName>
    <definedName name="embere">EH!$B$2:$B$217</definedName>
    <definedName name="emberh">EH!$K$2:$K$244</definedName>
    <definedName name="geno">Szarmaztatas!$V$5:$V$13</definedName>
    <definedName name="hordozo">Fókuszeszköz!$A$2:$A$40</definedName>
    <definedName name="jovo1">Szarmaztatas!$Z$5:$Z$58</definedName>
    <definedName name="jovo2">Szarmaztatas!$AC$5:$AC$16</definedName>
    <definedName name="kepzett">Karakterlap!$AJ$4:$AJ$70</definedName>
    <definedName name="koncepte">EH!$D$2:$D$222</definedName>
    <definedName name="koncepth">EH!$M$2:$M$277</definedName>
    <definedName name="_xlnm.Print_Area" localSheetId="4">Nyomtatható!$A$1:$AB$196</definedName>
    <definedName name="szarmazas">Szarmaztatas!$V$20:$V$24</definedName>
    <definedName name="szuletett">Szarmaztatas!$S$14:$S$19</definedName>
    <definedName name="tul">Szarmaztatas!$K$5:$L$11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06" i="14" l="1"/>
  <c r="C107" i="14"/>
  <c r="C108" i="14"/>
  <c r="C109" i="14"/>
  <c r="C110" i="14"/>
  <c r="C111" i="14"/>
  <c r="C112" i="14"/>
  <c r="C113" i="14"/>
  <c r="C114" i="14"/>
  <c r="C115" i="14"/>
  <c r="C116" i="14"/>
  <c r="C117" i="14"/>
  <c r="C118" i="14"/>
  <c r="C119" i="14"/>
  <c r="C120" i="14"/>
  <c r="C121" i="14"/>
  <c r="C122" i="14"/>
  <c r="C123" i="14"/>
  <c r="C124" i="14"/>
  <c r="C125" i="14"/>
  <c r="C126" i="14"/>
  <c r="C127" i="14"/>
  <c r="C128" i="14"/>
  <c r="C129" i="14"/>
  <c r="C130" i="14"/>
  <c r="C131" i="14"/>
  <c r="C132" i="14"/>
  <c r="C133" i="14"/>
  <c r="C134" i="14"/>
  <c r="C135" i="14"/>
  <c r="C136" i="14"/>
  <c r="C137" i="14"/>
  <c r="C138" i="14"/>
  <c r="C139" i="14"/>
  <c r="C140" i="14"/>
  <c r="C141" i="14"/>
  <c r="C142" i="14"/>
  <c r="C143" i="14"/>
  <c r="N106" i="14"/>
  <c r="P106" i="14"/>
  <c r="R106" i="14"/>
  <c r="T106" i="14"/>
  <c r="V106" i="14"/>
  <c r="N107" i="14"/>
  <c r="P107" i="14"/>
  <c r="R107" i="14"/>
  <c r="T107" i="14"/>
  <c r="V107" i="14"/>
  <c r="N108" i="14"/>
  <c r="P108" i="14"/>
  <c r="R108" i="14"/>
  <c r="T108" i="14"/>
  <c r="V108" i="14"/>
  <c r="N109" i="14"/>
  <c r="P109" i="14"/>
  <c r="R109" i="14"/>
  <c r="T109" i="14"/>
  <c r="V109" i="14"/>
  <c r="N110" i="14"/>
  <c r="P110" i="14"/>
  <c r="R110" i="14"/>
  <c r="T110" i="14"/>
  <c r="V110" i="14"/>
  <c r="N111" i="14"/>
  <c r="P111" i="14"/>
  <c r="R111" i="14"/>
  <c r="T111" i="14"/>
  <c r="V111" i="14"/>
  <c r="N112" i="14"/>
  <c r="P112" i="14"/>
  <c r="R112" i="14"/>
  <c r="T112" i="14"/>
  <c r="V112" i="14"/>
  <c r="N113" i="14"/>
  <c r="P113" i="14"/>
  <c r="R113" i="14"/>
  <c r="T113" i="14"/>
  <c r="V113" i="14"/>
  <c r="N114" i="14"/>
  <c r="P114" i="14"/>
  <c r="R114" i="14"/>
  <c r="T114" i="14"/>
  <c r="V114" i="14"/>
  <c r="N115" i="14"/>
  <c r="P115" i="14"/>
  <c r="R115" i="14"/>
  <c r="T115" i="14"/>
  <c r="V115" i="14"/>
  <c r="N116" i="14"/>
  <c r="P116" i="14"/>
  <c r="R116" i="14"/>
  <c r="T116" i="14"/>
  <c r="V116" i="14"/>
  <c r="N117" i="14"/>
  <c r="P117" i="14"/>
  <c r="R117" i="14"/>
  <c r="T117" i="14"/>
  <c r="V117" i="14"/>
  <c r="N118" i="14"/>
  <c r="P118" i="14"/>
  <c r="R118" i="14"/>
  <c r="T118" i="14"/>
  <c r="V118" i="14"/>
  <c r="N119" i="14"/>
  <c r="P119" i="14"/>
  <c r="R119" i="14"/>
  <c r="T119" i="14"/>
  <c r="V119" i="14"/>
  <c r="N120" i="14"/>
  <c r="P120" i="14"/>
  <c r="R120" i="14"/>
  <c r="T120" i="14"/>
  <c r="V120" i="14"/>
  <c r="N121" i="14"/>
  <c r="P121" i="14"/>
  <c r="R121" i="14"/>
  <c r="T121" i="14"/>
  <c r="V121" i="14"/>
  <c r="N122" i="14"/>
  <c r="P122" i="14"/>
  <c r="R122" i="14"/>
  <c r="T122" i="14"/>
  <c r="V122" i="14"/>
  <c r="N123" i="14"/>
  <c r="P123" i="14"/>
  <c r="R123" i="14"/>
  <c r="T123" i="14"/>
  <c r="V123" i="14"/>
  <c r="N124" i="14"/>
  <c r="P124" i="14"/>
  <c r="R124" i="14"/>
  <c r="T124" i="14"/>
  <c r="V124" i="14"/>
  <c r="N125" i="14"/>
  <c r="P125" i="14"/>
  <c r="R125" i="14"/>
  <c r="T125" i="14"/>
  <c r="V125" i="14"/>
  <c r="N126" i="14"/>
  <c r="P126" i="14"/>
  <c r="R126" i="14"/>
  <c r="T126" i="14"/>
  <c r="V126" i="14"/>
  <c r="N127" i="14"/>
  <c r="P127" i="14"/>
  <c r="R127" i="14"/>
  <c r="T127" i="14"/>
  <c r="V127" i="14"/>
  <c r="N128" i="14"/>
  <c r="P128" i="14"/>
  <c r="R128" i="14"/>
  <c r="T128" i="14"/>
  <c r="V128" i="14"/>
  <c r="N129" i="14"/>
  <c r="P129" i="14"/>
  <c r="R129" i="14"/>
  <c r="T129" i="14"/>
  <c r="V129" i="14"/>
  <c r="N130" i="14"/>
  <c r="P130" i="14"/>
  <c r="R130" i="14"/>
  <c r="T130" i="14"/>
  <c r="V130" i="14"/>
  <c r="N131" i="14"/>
  <c r="P131" i="14"/>
  <c r="R131" i="14"/>
  <c r="T131" i="14"/>
  <c r="V131" i="14"/>
  <c r="N132" i="14"/>
  <c r="P132" i="14"/>
  <c r="R132" i="14"/>
  <c r="T132" i="14"/>
  <c r="V132" i="14"/>
  <c r="N133" i="14"/>
  <c r="P133" i="14"/>
  <c r="R133" i="14"/>
  <c r="T133" i="14"/>
  <c r="V133" i="14"/>
  <c r="N134" i="14"/>
  <c r="P134" i="14"/>
  <c r="R134" i="14"/>
  <c r="T134" i="14"/>
  <c r="V134" i="14"/>
  <c r="N135" i="14"/>
  <c r="P135" i="14"/>
  <c r="R135" i="14"/>
  <c r="T135" i="14"/>
  <c r="V135" i="14"/>
  <c r="N136" i="14"/>
  <c r="P136" i="14"/>
  <c r="R136" i="14"/>
  <c r="T136" i="14"/>
  <c r="V136" i="14"/>
  <c r="N137" i="14"/>
  <c r="P137" i="14"/>
  <c r="R137" i="14"/>
  <c r="T137" i="14"/>
  <c r="V137" i="14"/>
  <c r="N138" i="14"/>
  <c r="P138" i="14"/>
  <c r="R138" i="14"/>
  <c r="T138" i="14"/>
  <c r="V138" i="14"/>
  <c r="N139" i="14"/>
  <c r="P139" i="14"/>
  <c r="R139" i="14"/>
  <c r="T139" i="14"/>
  <c r="V139" i="14"/>
  <c r="N140" i="14"/>
  <c r="P140" i="14"/>
  <c r="R140" i="14"/>
  <c r="T140" i="14"/>
  <c r="V140" i="14"/>
  <c r="N141" i="14"/>
  <c r="P141" i="14"/>
  <c r="R141" i="14"/>
  <c r="T141" i="14"/>
  <c r="V141" i="14"/>
  <c r="N142" i="14"/>
  <c r="P142" i="14"/>
  <c r="R142" i="14"/>
  <c r="T142" i="14"/>
  <c r="V142" i="14"/>
  <c r="N143" i="14"/>
  <c r="P143" i="14"/>
  <c r="R143" i="14"/>
  <c r="T143" i="14"/>
  <c r="V143" i="14"/>
  <c r="X106" i="14"/>
  <c r="X107" i="14"/>
  <c r="X108" i="14"/>
  <c r="X109" i="14"/>
  <c r="X110" i="14"/>
  <c r="X111" i="14"/>
  <c r="X112" i="14"/>
  <c r="X113" i="14"/>
  <c r="X114" i="14"/>
  <c r="X115" i="14"/>
  <c r="X116" i="14"/>
  <c r="X117" i="14"/>
  <c r="X118" i="14"/>
  <c r="X119" i="14"/>
  <c r="X120" i="14"/>
  <c r="X121" i="14"/>
  <c r="X122" i="14"/>
  <c r="X123" i="14"/>
  <c r="X124" i="14"/>
  <c r="X125" i="14"/>
  <c r="X126" i="14"/>
  <c r="X127" i="14"/>
  <c r="X128" i="14"/>
  <c r="X129" i="14"/>
  <c r="X130" i="14"/>
  <c r="X131" i="14"/>
  <c r="X132" i="14"/>
  <c r="X133" i="14"/>
  <c r="X134" i="14"/>
  <c r="X135" i="14"/>
  <c r="X136" i="14"/>
  <c r="X137" i="14"/>
  <c r="X138" i="14"/>
  <c r="X139" i="14"/>
  <c r="X140" i="14"/>
  <c r="X141" i="14"/>
  <c r="X142" i="14"/>
  <c r="X143" i="14"/>
  <c r="X105" i="14"/>
  <c r="V105" i="14"/>
  <c r="T105" i="14"/>
  <c r="R105" i="14"/>
  <c r="P105" i="14"/>
  <c r="N105" i="14"/>
  <c r="C105" i="14"/>
  <c r="C57" i="14"/>
  <c r="C58" i="14"/>
  <c r="C59" i="14"/>
  <c r="C60" i="14"/>
  <c r="C61" i="14"/>
  <c r="C62" i="14"/>
  <c r="C63" i="14"/>
  <c r="C64" i="14"/>
  <c r="C65" i="14"/>
  <c r="C66" i="14"/>
  <c r="C67" i="14"/>
  <c r="C68" i="14"/>
  <c r="C69" i="14"/>
  <c r="C70" i="14"/>
  <c r="C71" i="14"/>
  <c r="C72" i="14"/>
  <c r="C73" i="14"/>
  <c r="C74" i="14"/>
  <c r="C75" i="14"/>
  <c r="C76" i="14"/>
  <c r="C77" i="14"/>
  <c r="C78" i="14"/>
  <c r="C79" i="14"/>
  <c r="C80" i="14"/>
  <c r="C81" i="14"/>
  <c r="C82" i="14"/>
  <c r="C83" i="14"/>
  <c r="C84" i="14"/>
  <c r="C85" i="14"/>
  <c r="C86" i="14"/>
  <c r="C87" i="14"/>
  <c r="C88" i="14"/>
  <c r="C89" i="14"/>
  <c r="C90" i="14"/>
  <c r="C91" i="14"/>
  <c r="C92" i="14"/>
  <c r="C93" i="14"/>
  <c r="C94" i="14"/>
  <c r="X57" i="14"/>
  <c r="X58" i="14"/>
  <c r="X59" i="14"/>
  <c r="X60" i="14"/>
  <c r="X61" i="14"/>
  <c r="X62" i="14"/>
  <c r="X63" i="14"/>
  <c r="X64" i="14"/>
  <c r="X65" i="14"/>
  <c r="X66" i="14"/>
  <c r="X67" i="14"/>
  <c r="X68" i="14"/>
  <c r="X69" i="14"/>
  <c r="X70" i="14"/>
  <c r="X71" i="14"/>
  <c r="X72" i="14"/>
  <c r="X73" i="14"/>
  <c r="X74" i="14"/>
  <c r="X75" i="14"/>
  <c r="X76" i="14"/>
  <c r="X77" i="14"/>
  <c r="X78" i="14"/>
  <c r="X79" i="14"/>
  <c r="X80" i="14"/>
  <c r="X81" i="14"/>
  <c r="X82" i="14"/>
  <c r="X83" i="14"/>
  <c r="X84" i="14"/>
  <c r="X85" i="14"/>
  <c r="X86" i="14"/>
  <c r="X87" i="14"/>
  <c r="X88" i="14"/>
  <c r="X89" i="14"/>
  <c r="X90" i="14"/>
  <c r="X91" i="14"/>
  <c r="X92" i="14"/>
  <c r="X93" i="14"/>
  <c r="X94" i="14"/>
  <c r="R57" i="14"/>
  <c r="T57" i="14"/>
  <c r="V57" i="14"/>
  <c r="R58" i="14"/>
  <c r="T58" i="14"/>
  <c r="V58" i="14"/>
  <c r="R59" i="14"/>
  <c r="T59" i="14"/>
  <c r="V59" i="14"/>
  <c r="R60" i="14"/>
  <c r="T60" i="14"/>
  <c r="V60" i="14"/>
  <c r="R61" i="14"/>
  <c r="T61" i="14"/>
  <c r="V61" i="14"/>
  <c r="R62" i="14"/>
  <c r="T62" i="14"/>
  <c r="V62" i="14"/>
  <c r="R63" i="14"/>
  <c r="T63" i="14"/>
  <c r="V63" i="14"/>
  <c r="R64" i="14"/>
  <c r="T64" i="14"/>
  <c r="V64" i="14"/>
  <c r="R65" i="14"/>
  <c r="T65" i="14"/>
  <c r="V65" i="14"/>
  <c r="R66" i="14"/>
  <c r="T66" i="14"/>
  <c r="V66" i="14"/>
  <c r="R67" i="14"/>
  <c r="T67" i="14"/>
  <c r="V67" i="14"/>
  <c r="R68" i="14"/>
  <c r="T68" i="14"/>
  <c r="V68" i="14"/>
  <c r="R69" i="14"/>
  <c r="T69" i="14"/>
  <c r="V69" i="14"/>
  <c r="R70" i="14"/>
  <c r="T70" i="14"/>
  <c r="V70" i="14"/>
  <c r="R71" i="14"/>
  <c r="T71" i="14"/>
  <c r="V71" i="14"/>
  <c r="R72" i="14"/>
  <c r="T72" i="14"/>
  <c r="V72" i="14"/>
  <c r="R73" i="14"/>
  <c r="T73" i="14"/>
  <c r="V73" i="14"/>
  <c r="R74" i="14"/>
  <c r="T74" i="14"/>
  <c r="V74" i="14"/>
  <c r="R75" i="14"/>
  <c r="T75" i="14"/>
  <c r="V75" i="14"/>
  <c r="R76" i="14"/>
  <c r="T76" i="14"/>
  <c r="V76" i="14"/>
  <c r="R77" i="14"/>
  <c r="T77" i="14"/>
  <c r="V77" i="14"/>
  <c r="R78" i="14"/>
  <c r="T78" i="14"/>
  <c r="V78" i="14"/>
  <c r="R79" i="14"/>
  <c r="T79" i="14"/>
  <c r="V79" i="14"/>
  <c r="R80" i="14"/>
  <c r="T80" i="14"/>
  <c r="V80" i="14"/>
  <c r="R81" i="14"/>
  <c r="T81" i="14"/>
  <c r="V81" i="14"/>
  <c r="R82" i="14"/>
  <c r="T82" i="14"/>
  <c r="V82" i="14"/>
  <c r="R83" i="14"/>
  <c r="T83" i="14"/>
  <c r="V83" i="14"/>
  <c r="R84" i="14"/>
  <c r="T84" i="14"/>
  <c r="V84" i="14"/>
  <c r="R85" i="14"/>
  <c r="T85" i="14"/>
  <c r="V85" i="14"/>
  <c r="R86" i="14"/>
  <c r="T86" i="14"/>
  <c r="V86" i="14"/>
  <c r="R87" i="14"/>
  <c r="T87" i="14"/>
  <c r="V87" i="14"/>
  <c r="R88" i="14"/>
  <c r="T88" i="14"/>
  <c r="V88" i="14"/>
  <c r="R89" i="14"/>
  <c r="T89" i="14"/>
  <c r="V89" i="14"/>
  <c r="R90" i="14"/>
  <c r="T90" i="14"/>
  <c r="V90" i="14"/>
  <c r="R91" i="14"/>
  <c r="T91" i="14"/>
  <c r="V91" i="14"/>
  <c r="R92" i="14"/>
  <c r="T92" i="14"/>
  <c r="V92" i="14"/>
  <c r="R93" i="14"/>
  <c r="T93" i="14"/>
  <c r="V93" i="14"/>
  <c r="R94" i="14"/>
  <c r="T94" i="14"/>
  <c r="V94" i="14"/>
  <c r="P57" i="14"/>
  <c r="P58" i="14"/>
  <c r="P59" i="14"/>
  <c r="P60" i="14"/>
  <c r="P61" i="14"/>
  <c r="P62" i="14"/>
  <c r="P63" i="14"/>
  <c r="P64" i="14"/>
  <c r="P65" i="14"/>
  <c r="P66" i="14"/>
  <c r="P67" i="14"/>
  <c r="P68" i="14"/>
  <c r="P69" i="14"/>
  <c r="P70" i="14"/>
  <c r="P71" i="14"/>
  <c r="P72" i="14"/>
  <c r="P73" i="14"/>
  <c r="P74" i="14"/>
  <c r="P75" i="14"/>
  <c r="P76" i="14"/>
  <c r="P77" i="14"/>
  <c r="P78" i="14"/>
  <c r="P79" i="14"/>
  <c r="P80" i="14"/>
  <c r="P81" i="14"/>
  <c r="P82" i="14"/>
  <c r="P83" i="14"/>
  <c r="P84" i="14"/>
  <c r="P85" i="14"/>
  <c r="P86" i="14"/>
  <c r="P87" i="14"/>
  <c r="P88" i="14"/>
  <c r="P89" i="14"/>
  <c r="P90" i="14"/>
  <c r="P91" i="14"/>
  <c r="P92" i="14"/>
  <c r="P93" i="14"/>
  <c r="P94" i="14"/>
  <c r="N57" i="14"/>
  <c r="N58" i="14"/>
  <c r="N59" i="14"/>
  <c r="N60" i="14"/>
  <c r="N61" i="14"/>
  <c r="N62" i="14"/>
  <c r="N63" i="14"/>
  <c r="N64" i="14"/>
  <c r="N65" i="14"/>
  <c r="N66" i="14"/>
  <c r="N67" i="14"/>
  <c r="N68" i="14"/>
  <c r="N69" i="14"/>
  <c r="N70" i="14"/>
  <c r="N71" i="14"/>
  <c r="N72" i="14"/>
  <c r="N73" i="14"/>
  <c r="N74" i="14"/>
  <c r="N75" i="14"/>
  <c r="N76" i="14"/>
  <c r="N77" i="14"/>
  <c r="N78" i="14"/>
  <c r="N79" i="14"/>
  <c r="N80" i="14"/>
  <c r="N81" i="14"/>
  <c r="N82" i="14"/>
  <c r="N83" i="14"/>
  <c r="N84" i="14"/>
  <c r="N85" i="14"/>
  <c r="N86" i="14"/>
  <c r="N87" i="14"/>
  <c r="N88" i="14"/>
  <c r="N89" i="14"/>
  <c r="N90" i="14"/>
  <c r="N91" i="14"/>
  <c r="N92" i="14"/>
  <c r="N93" i="14"/>
  <c r="N94" i="14"/>
  <c r="L3" i="5"/>
  <c r="L4" i="5"/>
  <c r="L5" i="5"/>
  <c r="L6" i="5"/>
  <c r="L7" i="5"/>
  <c r="L8" i="5"/>
  <c r="L2" i="5"/>
  <c r="Q8" i="5" l="1"/>
  <c r="Y8" i="5"/>
  <c r="AA8" i="5"/>
  <c r="Q9" i="5"/>
  <c r="Y9" i="5"/>
  <c r="AA9" i="5"/>
  <c r="Q10" i="5"/>
  <c r="Y10" i="5"/>
  <c r="AA10" i="5"/>
  <c r="Q11" i="5"/>
  <c r="Y11" i="5"/>
  <c r="AA11" i="5"/>
  <c r="Q12" i="5"/>
  <c r="Y12" i="5"/>
  <c r="AA12" i="5"/>
  <c r="Q13" i="5"/>
  <c r="Y13" i="5"/>
  <c r="AA13" i="5"/>
  <c r="Q14" i="5"/>
  <c r="Y14" i="5"/>
  <c r="AA14" i="5"/>
  <c r="Q15" i="5"/>
  <c r="Y15" i="5"/>
  <c r="AA15" i="5"/>
  <c r="Y16" i="5"/>
  <c r="AA16" i="5"/>
  <c r="Y17" i="5"/>
  <c r="AA17" i="5"/>
  <c r="Y18" i="5"/>
  <c r="AA18" i="5"/>
  <c r="Y19" i="5"/>
  <c r="AA19" i="5"/>
  <c r="Y20" i="5"/>
  <c r="AA20" i="5"/>
  <c r="Y21" i="5"/>
  <c r="AA21" i="5"/>
  <c r="Y22" i="5"/>
  <c r="AA22" i="5"/>
  <c r="Y23" i="5"/>
  <c r="AA23" i="5"/>
  <c r="Y24" i="5"/>
  <c r="AA24" i="5"/>
  <c r="Y25" i="5"/>
  <c r="AA25" i="5"/>
  <c r="Y26" i="5"/>
  <c r="AA26" i="5"/>
  <c r="Y27" i="5"/>
  <c r="Y28" i="5"/>
  <c r="AA28" i="5"/>
  <c r="Y29" i="5"/>
  <c r="AA29" i="5"/>
  <c r="Y30" i="5"/>
  <c r="AA30" i="5"/>
  <c r="Y31" i="5"/>
  <c r="AA31" i="5"/>
  <c r="Y32" i="5"/>
  <c r="AA32" i="5"/>
  <c r="Y33" i="5"/>
  <c r="AA33" i="5"/>
  <c r="Y34" i="5"/>
  <c r="AA34" i="5"/>
  <c r="Y35" i="5"/>
  <c r="Y36" i="5"/>
  <c r="AA36" i="5"/>
  <c r="Y37" i="5"/>
  <c r="AA37" i="5"/>
  <c r="Y38" i="5"/>
  <c r="AA38" i="5"/>
  <c r="Y39" i="5"/>
  <c r="Y40" i="5"/>
  <c r="AA40" i="5"/>
  <c r="Y41" i="5"/>
  <c r="AA41" i="5"/>
  <c r="Y42" i="5"/>
  <c r="AA42" i="5"/>
  <c r="Y43" i="5"/>
  <c r="AA43" i="5"/>
  <c r="Y44" i="5"/>
  <c r="AA44" i="5"/>
  <c r="Y45" i="5"/>
  <c r="AA45" i="5"/>
  <c r="Y46" i="5"/>
  <c r="Y47" i="5"/>
  <c r="AA47" i="5"/>
  <c r="Y48" i="5"/>
  <c r="AA48" i="5"/>
  <c r="Y49" i="5"/>
  <c r="AA49" i="5"/>
  <c r="Y50" i="5"/>
  <c r="AA50" i="5"/>
  <c r="Y51" i="5"/>
  <c r="AA51" i="5"/>
  <c r="Y52" i="5"/>
  <c r="AA52" i="5"/>
  <c r="Y53" i="5"/>
  <c r="AA53" i="5"/>
  <c r="Y54" i="5"/>
  <c r="Y55" i="5"/>
  <c r="AA55" i="5"/>
  <c r="Y56" i="5"/>
  <c r="AA56" i="5"/>
  <c r="Y57" i="5"/>
  <c r="AA57" i="5"/>
  <c r="Y58" i="5"/>
  <c r="AA58" i="5"/>
  <c r="Y59" i="5"/>
  <c r="AA59" i="5"/>
  <c r="Y60" i="5"/>
  <c r="AA60" i="5"/>
  <c r="Y61" i="5"/>
  <c r="AA61" i="5"/>
  <c r="Y62" i="5"/>
  <c r="AA62" i="5"/>
  <c r="Q63" i="5"/>
  <c r="Y63" i="5"/>
  <c r="AA63" i="5"/>
  <c r="Q64" i="5"/>
  <c r="Y64" i="5"/>
  <c r="AA64" i="5"/>
  <c r="Q65" i="5"/>
  <c r="Y65" i="5"/>
  <c r="AA65" i="5"/>
  <c r="Q66" i="5"/>
  <c r="Y66" i="5"/>
  <c r="AA66" i="5"/>
  <c r="Q67" i="5"/>
  <c r="Y67" i="5"/>
  <c r="AA67" i="5"/>
  <c r="Q68" i="5"/>
  <c r="Y68" i="5"/>
  <c r="AA68" i="5"/>
  <c r="AA69" i="5"/>
  <c r="Q70" i="5"/>
  <c r="Y70" i="5"/>
  <c r="AA70" i="5"/>
  <c r="Q71" i="5"/>
  <c r="AA71" i="5" s="1"/>
  <c r="Y71" i="5"/>
  <c r="Q72" i="5"/>
  <c r="Y72" i="5"/>
  <c r="AA72" i="5"/>
  <c r="Q73" i="5"/>
  <c r="Y73" i="5"/>
  <c r="AA73" i="5"/>
  <c r="Q74" i="5"/>
  <c r="Y74" i="5"/>
  <c r="AA74" i="5"/>
  <c r="Q75" i="5"/>
  <c r="AA75" i="5"/>
  <c r="Q76" i="5"/>
  <c r="AA76" i="5"/>
  <c r="Y77" i="5"/>
  <c r="B166" i="14" l="1"/>
  <c r="B167" i="14"/>
  <c r="B168" i="14"/>
  <c r="B169" i="14"/>
  <c r="B170" i="14"/>
  <c r="B165" i="14"/>
  <c r="B173" i="14"/>
  <c r="O174" i="14"/>
  <c r="O175" i="14"/>
  <c r="O176" i="14"/>
  <c r="O177" i="14"/>
  <c r="O178" i="14"/>
  <c r="O179" i="14"/>
  <c r="O180" i="14"/>
  <c r="O181" i="14"/>
  <c r="O182" i="14"/>
  <c r="O183" i="14"/>
  <c r="O184" i="14"/>
  <c r="O185" i="14"/>
  <c r="O186" i="14"/>
  <c r="O187" i="14"/>
  <c r="O188" i="14"/>
  <c r="O189" i="14"/>
  <c r="O190" i="14"/>
  <c r="O191" i="14"/>
  <c r="O192" i="14"/>
  <c r="O193" i="14"/>
  <c r="O173" i="14"/>
  <c r="B174" i="14"/>
  <c r="B175" i="14"/>
  <c r="B176" i="14"/>
  <c r="B177" i="14"/>
  <c r="B178" i="14"/>
  <c r="B179" i="14"/>
  <c r="B180" i="14"/>
  <c r="B181" i="14"/>
  <c r="B182" i="14"/>
  <c r="B183" i="14"/>
  <c r="B184" i="14"/>
  <c r="B185" i="14"/>
  <c r="B186" i="14"/>
  <c r="B187" i="14"/>
  <c r="B188" i="14"/>
  <c r="B189" i="14"/>
  <c r="B190" i="14"/>
  <c r="B191" i="14"/>
  <c r="B192" i="14"/>
  <c r="B193" i="14"/>
  <c r="Q7" i="5" l="1"/>
  <c r="Y7" i="5"/>
  <c r="AA7" i="5"/>
  <c r="P56" i="14" l="1"/>
  <c r="N56" i="14"/>
  <c r="AH16" i="5"/>
  <c r="AH41" i="5" s="1"/>
  <c r="AG6" i="5"/>
  <c r="AG17" i="5"/>
  <c r="AG21" i="5"/>
  <c r="AG5" i="5"/>
  <c r="AG2" i="5"/>
  <c r="AG16" i="5"/>
  <c r="AG1" i="5"/>
  <c r="AG14" i="5"/>
  <c r="AG13" i="5"/>
  <c r="AE23" i="5"/>
  <c r="E4" i="5"/>
  <c r="D23" i="5"/>
  <c r="D21" i="5"/>
  <c r="AE24" i="5"/>
  <c r="B3" i="5"/>
  <c r="C10" i="5" s="1"/>
  <c r="B4" i="5"/>
  <c r="C9" i="14" s="1"/>
  <c r="C2" i="5"/>
  <c r="C3" i="5"/>
  <c r="C4" i="5"/>
  <c r="AE25" i="5"/>
  <c r="I27" i="5"/>
  <c r="I28" i="5"/>
  <c r="Z30" i="14" s="1"/>
  <c r="I29" i="5"/>
  <c r="Z31" i="14" s="1"/>
  <c r="I30" i="5"/>
  <c r="Z32" i="14" s="1"/>
  <c r="I31" i="5"/>
  <c r="Z33" i="14" s="1"/>
  <c r="AK69" i="5"/>
  <c r="AK68" i="5"/>
  <c r="AK67" i="5"/>
  <c r="AK65" i="5"/>
  <c r="AK64" i="5"/>
  <c r="AH19" i="5"/>
  <c r="AH27" i="5"/>
  <c r="AK61" i="5" s="1"/>
  <c r="AK60" i="5"/>
  <c r="AK59" i="5"/>
  <c r="AK57" i="5"/>
  <c r="AH15" i="5"/>
  <c r="AH42" i="5" s="1"/>
  <c r="AH14" i="5"/>
  <c r="AH40" i="5" s="1"/>
  <c r="AH13" i="5"/>
  <c r="AH39" i="5" s="1"/>
  <c r="AH12" i="5"/>
  <c r="AH10" i="5"/>
  <c r="AH11" i="5"/>
  <c r="Q5" i="5"/>
  <c r="AK6" i="5" s="1"/>
  <c r="Q6" i="5"/>
  <c r="AK7" i="5" s="1"/>
  <c r="AK9" i="5"/>
  <c r="AK11" i="5"/>
  <c r="AK13" i="5"/>
  <c r="AK15" i="5"/>
  <c r="Q4" i="5"/>
  <c r="Q3" i="5"/>
  <c r="AK5" i="5" s="1"/>
  <c r="AH26" i="5"/>
  <c r="Q2" i="5" s="1"/>
  <c r="AK4" i="5" s="1"/>
  <c r="AK70" i="5"/>
  <c r="AK66" i="5"/>
  <c r="AK62" i="5"/>
  <c r="AK58" i="5"/>
  <c r="AK14" i="5"/>
  <c r="AK12" i="5"/>
  <c r="AK10" i="5"/>
  <c r="AK8" i="5"/>
  <c r="AE21" i="5"/>
  <c r="AE20" i="5"/>
  <c r="AE19" i="5"/>
  <c r="AE17" i="5"/>
  <c r="AE16" i="5"/>
  <c r="AE14" i="5"/>
  <c r="AE13" i="5"/>
  <c r="AE11" i="5"/>
  <c r="AE10" i="5"/>
  <c r="AE9" i="5"/>
  <c r="AE31" i="5"/>
  <c r="G28" i="5"/>
  <c r="S30" i="14" s="1"/>
  <c r="G27" i="5"/>
  <c r="S29" i="14" s="1"/>
  <c r="G29" i="5"/>
  <c r="S31" i="14" s="1"/>
  <c r="G30" i="5"/>
  <c r="S32" i="14" s="1"/>
  <c r="G31" i="5"/>
  <c r="S33" i="14" s="1"/>
  <c r="AE30" i="5"/>
  <c r="AG12" i="5"/>
  <c r="V15" i="14"/>
  <c r="AG4" i="5"/>
  <c r="AE22" i="5"/>
  <c r="D15" i="5"/>
  <c r="AE7" i="5" s="1"/>
  <c r="P5" i="7"/>
  <c r="P6" i="7" s="1"/>
  <c r="P7" i="7" s="1"/>
  <c r="P8" i="7" s="1"/>
  <c r="P9" i="7" s="1"/>
  <c r="P10" i="7" s="1"/>
  <c r="P11" i="7" s="1"/>
  <c r="P12" i="7" s="1"/>
  <c r="P13" i="7" s="1"/>
  <c r="B27" i="5"/>
  <c r="S22" i="14" s="1"/>
  <c r="B29" i="5"/>
  <c r="S24" i="14" s="1"/>
  <c r="B28" i="5"/>
  <c r="S23" i="14" s="1"/>
  <c r="B30" i="5"/>
  <c r="S25" i="14" s="1"/>
  <c r="B31" i="5"/>
  <c r="S26" i="14" s="1"/>
  <c r="B32" i="5"/>
  <c r="E47" i="5"/>
  <c r="E48" i="5"/>
  <c r="E49" i="5"/>
  <c r="E50" i="5"/>
  <c r="E51" i="5"/>
  <c r="E52" i="5"/>
  <c r="E53" i="5"/>
  <c r="E54" i="5"/>
  <c r="E55" i="5"/>
  <c r="E56" i="5"/>
  <c r="E57" i="5"/>
  <c r="E58" i="5"/>
  <c r="E59" i="5"/>
  <c r="AE28" i="5"/>
  <c r="AE29" i="5"/>
  <c r="AE27" i="5"/>
  <c r="AG15" i="5"/>
  <c r="AG3" i="5"/>
  <c r="AG9" i="5"/>
  <c r="R56" i="14"/>
  <c r="V20" i="14"/>
  <c r="V18" i="14"/>
  <c r="S170" i="14"/>
  <c r="S169" i="14"/>
  <c r="S168" i="14"/>
  <c r="S167" i="14"/>
  <c r="S166" i="14"/>
  <c r="S165" i="14"/>
  <c r="S164" i="14"/>
  <c r="N170" i="14"/>
  <c r="N169" i="14"/>
  <c r="N168" i="14"/>
  <c r="N167" i="14"/>
  <c r="X157" i="14"/>
  <c r="X156" i="14"/>
  <c r="X155" i="14"/>
  <c r="X154" i="14"/>
  <c r="X159" i="14"/>
  <c r="X170" i="14"/>
  <c r="X169" i="14"/>
  <c r="X168" i="14"/>
  <c r="X167" i="14"/>
  <c r="X166" i="14"/>
  <c r="X165" i="14"/>
  <c r="X164" i="14"/>
  <c r="X163" i="14"/>
  <c r="X162" i="14"/>
  <c r="X161" i="14"/>
  <c r="X160" i="14"/>
  <c r="S154" i="14"/>
  <c r="S161" i="14"/>
  <c r="S160" i="14"/>
  <c r="S159" i="14"/>
  <c r="S158" i="14"/>
  <c r="S157" i="14"/>
  <c r="S156" i="14"/>
  <c r="S155" i="14"/>
  <c r="N154" i="14"/>
  <c r="N165" i="14"/>
  <c r="N164" i="14"/>
  <c r="N163" i="14"/>
  <c r="N162" i="14"/>
  <c r="N161" i="14"/>
  <c r="N160" i="14"/>
  <c r="N159" i="14"/>
  <c r="N158" i="14"/>
  <c r="N157" i="14"/>
  <c r="N156" i="14"/>
  <c r="N155" i="14"/>
  <c r="X56" i="14"/>
  <c r="C56" i="14"/>
  <c r="C23" i="5"/>
  <c r="P15" i="14" s="1"/>
  <c r="C22" i="5"/>
  <c r="P14" i="14" s="1"/>
  <c r="C21" i="5"/>
  <c r="P13" i="14" s="1"/>
  <c r="C20" i="5"/>
  <c r="P12" i="14" s="1"/>
  <c r="C19" i="5"/>
  <c r="P11" i="14" s="1"/>
  <c r="C18" i="5"/>
  <c r="P10" i="14" s="1"/>
  <c r="C17" i="5"/>
  <c r="P9" i="14" s="1"/>
  <c r="Z47" i="14"/>
  <c r="V47" i="14"/>
  <c r="R47" i="14"/>
  <c r="M47" i="14"/>
  <c r="Z46" i="14"/>
  <c r="V46" i="14"/>
  <c r="R46" i="14"/>
  <c r="M46" i="14"/>
  <c r="Z45" i="14"/>
  <c r="V45" i="14"/>
  <c r="R45" i="14"/>
  <c r="M45" i="14"/>
  <c r="Z44" i="14"/>
  <c r="V44" i="14"/>
  <c r="R44" i="14"/>
  <c r="M44" i="14"/>
  <c r="Z43" i="14"/>
  <c r="V43" i="14"/>
  <c r="R43" i="14"/>
  <c r="M43" i="14"/>
  <c r="Z42" i="14"/>
  <c r="V42" i="14"/>
  <c r="R42" i="14"/>
  <c r="M42" i="14"/>
  <c r="Z41" i="14"/>
  <c r="V41" i="14"/>
  <c r="R41" i="14"/>
  <c r="M41" i="14"/>
  <c r="D40" i="5"/>
  <c r="Z39" i="14" s="1"/>
  <c r="D39" i="5"/>
  <c r="Z38" i="14" s="1"/>
  <c r="D38" i="5"/>
  <c r="Z37" i="14" s="1"/>
  <c r="D37" i="5"/>
  <c r="Z36" i="14" s="1"/>
  <c r="D36" i="5"/>
  <c r="Z35" i="14" s="1"/>
  <c r="T39" i="14"/>
  <c r="T38" i="14"/>
  <c r="T37" i="14"/>
  <c r="T36" i="14"/>
  <c r="T35" i="14"/>
  <c r="B40" i="5"/>
  <c r="S39" i="14" s="1"/>
  <c r="B39" i="5"/>
  <c r="S38" i="14" s="1"/>
  <c r="B38" i="5"/>
  <c r="S37" i="14" s="1"/>
  <c r="B37" i="5"/>
  <c r="S36" i="14" s="1"/>
  <c r="B36" i="5"/>
  <c r="S35" i="14" s="1"/>
  <c r="M39" i="14"/>
  <c r="M38" i="14"/>
  <c r="M37" i="14"/>
  <c r="M36" i="14"/>
  <c r="M35" i="14"/>
  <c r="T33" i="14"/>
  <c r="T32" i="14"/>
  <c r="T31" i="14"/>
  <c r="T30" i="14"/>
  <c r="T29" i="14"/>
  <c r="M33" i="14"/>
  <c r="M32" i="14"/>
  <c r="M31" i="14"/>
  <c r="M30" i="14"/>
  <c r="M29" i="14"/>
  <c r="D32" i="5"/>
  <c r="Z27" i="14" s="1"/>
  <c r="D31" i="5"/>
  <c r="Z26" i="14" s="1"/>
  <c r="D30" i="5"/>
  <c r="Z25" i="14" s="1"/>
  <c r="D29" i="5"/>
  <c r="Z24" i="14" s="1"/>
  <c r="D28" i="5"/>
  <c r="Z23" i="14" s="1"/>
  <c r="D27" i="5"/>
  <c r="T27" i="14"/>
  <c r="T26" i="14"/>
  <c r="T25" i="14"/>
  <c r="T24" i="14"/>
  <c r="T23" i="14"/>
  <c r="T22" i="14"/>
  <c r="M27" i="14"/>
  <c r="M26" i="14"/>
  <c r="M25" i="14"/>
  <c r="M24" i="14"/>
  <c r="M23" i="14"/>
  <c r="M22" i="14"/>
  <c r="G23" i="5"/>
  <c r="X15" i="14"/>
  <c r="G22" i="5"/>
  <c r="X14" i="14"/>
  <c r="G21" i="5"/>
  <c r="X13" i="14"/>
  <c r="G20" i="5"/>
  <c r="X12" i="14"/>
  <c r="G19" i="5"/>
  <c r="X11" i="14"/>
  <c r="G18" i="5"/>
  <c r="X10" i="14"/>
  <c r="G17" i="5"/>
  <c r="X9" i="14"/>
  <c r="V14" i="14"/>
  <c r="V13" i="14"/>
  <c r="V12" i="14"/>
  <c r="V11" i="14"/>
  <c r="V10" i="14"/>
  <c r="V9" i="14"/>
  <c r="T15" i="14"/>
  <c r="E22" i="5"/>
  <c r="E20" i="5"/>
  <c r="E19" i="5"/>
  <c r="E18" i="5"/>
  <c r="E17" i="5"/>
  <c r="R15" i="14"/>
  <c r="R11" i="14"/>
  <c r="N9" i="14"/>
  <c r="N15" i="14"/>
  <c r="N14" i="14"/>
  <c r="N13" i="14"/>
  <c r="N12" i="14"/>
  <c r="N11" i="14"/>
  <c r="N10" i="14"/>
  <c r="AE18" i="5"/>
  <c r="AE15" i="5"/>
  <c r="AE12" i="5"/>
  <c r="AA2" i="5"/>
  <c r="AA4" i="5"/>
  <c r="AA5" i="5"/>
  <c r="AA6" i="5"/>
  <c r="R18" i="14"/>
  <c r="C19" i="14"/>
  <c r="C17" i="14"/>
  <c r="C15" i="14"/>
  <c r="C13" i="14"/>
  <c r="C11" i="14"/>
  <c r="C7" i="14"/>
  <c r="AG23" i="5"/>
  <c r="AE26" i="5"/>
  <c r="AH25" i="5"/>
  <c r="AH24" i="5"/>
  <c r="AH23" i="5"/>
  <c r="Q69" i="5" s="1"/>
  <c r="AK63" i="5" s="1"/>
  <c r="AH22" i="5"/>
  <c r="AG22" i="5"/>
  <c r="AG20" i="5"/>
  <c r="B24" i="5"/>
  <c r="Y3" i="5"/>
  <c r="Y4" i="5"/>
  <c r="Y5" i="5"/>
  <c r="Y6" i="5"/>
  <c r="Y2" i="5"/>
  <c r="L16" i="5"/>
  <c r="L17" i="5"/>
  <c r="L18" i="5"/>
  <c r="L19" i="5"/>
  <c r="L20" i="5"/>
  <c r="L21" i="5"/>
  <c r="L22" i="5"/>
  <c r="L23" i="5"/>
  <c r="L24" i="5"/>
  <c r="L25" i="5"/>
  <c r="L26" i="5"/>
  <c r="L27" i="5"/>
  <c r="H35" i="7"/>
  <c r="N35" i="7" s="1"/>
  <c r="H36" i="7"/>
  <c r="N36" i="7" s="1"/>
  <c r="H37" i="7"/>
  <c r="N37" i="7" s="1"/>
  <c r="H38" i="7"/>
  <c r="N38" i="7" s="1"/>
  <c r="H39" i="7"/>
  <c r="N39" i="7" s="1"/>
  <c r="H40" i="7"/>
  <c r="N40" i="7" s="1"/>
  <c r="H41" i="7"/>
  <c r="N41" i="7" s="1"/>
  <c r="H42" i="7"/>
  <c r="N42" i="7" s="1"/>
  <c r="H34" i="7"/>
  <c r="N34" i="7" s="1"/>
  <c r="H32" i="7"/>
  <c r="N32" i="7" s="1"/>
  <c r="H33" i="7"/>
  <c r="N33" i="7" s="1"/>
  <c r="H31" i="7"/>
  <c r="N31" i="7" s="1"/>
  <c r="G35" i="7"/>
  <c r="M35" i="7" s="1"/>
  <c r="G36" i="7"/>
  <c r="M36" i="7" s="1"/>
  <c r="G37" i="7"/>
  <c r="M37" i="7" s="1"/>
  <c r="G38" i="7"/>
  <c r="M38" i="7" s="1"/>
  <c r="G39" i="7"/>
  <c r="M39" i="7" s="1"/>
  <c r="G40" i="7"/>
  <c r="M40" i="7" s="1"/>
  <c r="G41" i="7"/>
  <c r="M41" i="7" s="1"/>
  <c r="G42" i="7"/>
  <c r="M42" i="7" s="1"/>
  <c r="G34" i="7"/>
  <c r="M34" i="7"/>
  <c r="G32" i="7"/>
  <c r="M32" i="7" s="1"/>
  <c r="G33" i="7"/>
  <c r="M33" i="7" s="1"/>
  <c r="G31" i="7"/>
  <c r="M31" i="7" s="1"/>
  <c r="F32" i="7"/>
  <c r="L32" i="7" s="1"/>
  <c r="F33" i="7"/>
  <c r="L33" i="7" s="1"/>
  <c r="F31" i="7"/>
  <c r="L31" i="7" s="1"/>
  <c r="F35" i="7"/>
  <c r="L35" i="7" s="1"/>
  <c r="F36" i="7"/>
  <c r="L36" i="7" s="1"/>
  <c r="F37" i="7"/>
  <c r="L37" i="7" s="1"/>
  <c r="F38" i="7"/>
  <c r="L38" i="7" s="1"/>
  <c r="F39" i="7"/>
  <c r="L39" i="7" s="1"/>
  <c r="F40" i="7"/>
  <c r="L40" i="7" s="1"/>
  <c r="F41" i="7"/>
  <c r="L41" i="7" s="1"/>
  <c r="F42" i="7"/>
  <c r="L42" i="7" s="1"/>
  <c r="F34" i="7"/>
  <c r="L34" i="7" s="1"/>
  <c r="K31" i="7"/>
  <c r="K35" i="7"/>
  <c r="K36" i="7"/>
  <c r="K37" i="7"/>
  <c r="K38" i="7"/>
  <c r="K39" i="7"/>
  <c r="K40" i="7"/>
  <c r="K41" i="7"/>
  <c r="K42" i="7"/>
  <c r="K34" i="7"/>
  <c r="K32" i="7"/>
  <c r="K33" i="7"/>
  <c r="J35" i="7"/>
  <c r="J36" i="7"/>
  <c r="J37" i="7"/>
  <c r="J38" i="7"/>
  <c r="J39" i="7"/>
  <c r="J40" i="7"/>
  <c r="J41" i="7"/>
  <c r="J42" i="7"/>
  <c r="J34" i="7"/>
  <c r="J32" i="7"/>
  <c r="J33" i="7"/>
  <c r="J31" i="7"/>
  <c r="I35" i="7"/>
  <c r="I36" i="7"/>
  <c r="I37" i="7"/>
  <c r="I38" i="7"/>
  <c r="I39" i="7"/>
  <c r="I40" i="7"/>
  <c r="I41" i="7"/>
  <c r="I42" i="7"/>
  <c r="I34" i="7"/>
  <c r="I32" i="7"/>
  <c r="I33" i="7"/>
  <c r="I31" i="7"/>
  <c r="F24" i="5"/>
  <c r="C24" i="7"/>
  <c r="C25" i="7" s="1"/>
  <c r="C26" i="7" s="1"/>
  <c r="D23" i="7"/>
  <c r="AE3" i="5"/>
  <c r="X66" i="5" l="1"/>
  <c r="F24" i="7"/>
  <c r="X34" i="5"/>
  <c r="X44" i="5"/>
  <c r="X28" i="5"/>
  <c r="X46" i="5"/>
  <c r="X65" i="5"/>
  <c r="X29" i="5"/>
  <c r="X30" i="5"/>
  <c r="X40" i="5"/>
  <c r="X35" i="5"/>
  <c r="X41" i="5"/>
  <c r="X54" i="5"/>
  <c r="X55" i="5"/>
  <c r="X59" i="5"/>
  <c r="X71" i="5"/>
  <c r="X52" i="5"/>
  <c r="X57" i="5"/>
  <c r="X70" i="5"/>
  <c r="X53" i="5"/>
  <c r="X58" i="5"/>
  <c r="X62" i="5"/>
  <c r="X68" i="5"/>
  <c r="X73" i="5"/>
  <c r="X47" i="5"/>
  <c r="X51" i="5"/>
  <c r="X56" i="5"/>
  <c r="X60" i="5"/>
  <c r="X63" i="5"/>
  <c r="X72" i="5"/>
  <c r="X74" i="5"/>
  <c r="X61" i="5"/>
  <c r="X36" i="5"/>
  <c r="X45" i="5"/>
  <c r="X50" i="5"/>
  <c r="X69" i="5"/>
  <c r="X76" i="5"/>
  <c r="X38" i="5"/>
  <c r="X8" i="5"/>
  <c r="X10" i="5"/>
  <c r="X12" i="5"/>
  <c r="X39" i="5"/>
  <c r="X64" i="5"/>
  <c r="X75" i="5"/>
  <c r="X9" i="5"/>
  <c r="X11" i="5"/>
  <c r="X15" i="5"/>
  <c r="X37" i="5"/>
  <c r="X42" i="5"/>
  <c r="X67" i="5"/>
  <c r="X33" i="5"/>
  <c r="X43" i="5"/>
  <c r="X14" i="5"/>
  <c r="X49" i="5"/>
  <c r="X48" i="5"/>
  <c r="X26" i="5"/>
  <c r="X31" i="5"/>
  <c r="X13" i="5"/>
  <c r="X27" i="5"/>
  <c r="X32" i="5"/>
  <c r="Q37" i="5"/>
  <c r="AK35" i="5" s="1"/>
  <c r="Q39" i="5"/>
  <c r="AA39" i="5" s="1"/>
  <c r="Q33" i="5"/>
  <c r="AK31" i="5" s="1"/>
  <c r="Q35" i="5"/>
  <c r="AA35" i="5" s="1"/>
  <c r="Q40" i="5"/>
  <c r="AK38" i="5" s="1"/>
  <c r="Q42" i="5"/>
  <c r="Q44" i="5"/>
  <c r="AK42" i="5" s="1"/>
  <c r="Q46" i="5"/>
  <c r="AA46" i="5" s="1"/>
  <c r="Q36" i="5"/>
  <c r="AK34" i="5" s="1"/>
  <c r="Q38" i="5"/>
  <c r="AK36" i="5" s="1"/>
  <c r="Q47" i="5"/>
  <c r="AK45" i="5" s="1"/>
  <c r="Q34" i="5"/>
  <c r="AK32" i="5" s="1"/>
  <c r="Q41" i="5"/>
  <c r="AK39" i="5" s="1"/>
  <c r="Q43" i="5"/>
  <c r="AK41" i="5" s="1"/>
  <c r="Q45" i="5"/>
  <c r="AK43" i="5" s="1"/>
  <c r="Q52" i="5"/>
  <c r="AK48" i="5" s="1"/>
  <c r="Q54" i="5"/>
  <c r="AA54" i="5" s="1"/>
  <c r="Q55" i="5"/>
  <c r="Q57" i="5"/>
  <c r="Q59" i="5"/>
  <c r="AK53" i="5" s="1"/>
  <c r="Q61" i="5"/>
  <c r="AK55" i="5" s="1"/>
  <c r="Q51" i="5"/>
  <c r="AK47" i="5" s="1"/>
  <c r="Q53" i="5"/>
  <c r="AK49" i="5" s="1"/>
  <c r="Q56" i="5"/>
  <c r="Q58" i="5"/>
  <c r="AK52" i="5" s="1"/>
  <c r="Q60" i="5"/>
  <c r="AK54" i="5" s="1"/>
  <c r="Q62" i="5"/>
  <c r="AK56" i="5" s="1"/>
  <c r="Q48" i="5"/>
  <c r="AK46" i="5" s="1"/>
  <c r="Q50" i="5"/>
  <c r="Q49" i="5"/>
  <c r="Q26" i="5"/>
  <c r="AK26" i="5" s="1"/>
  <c r="Q29" i="5"/>
  <c r="AK29" i="5" s="1"/>
  <c r="Q31" i="5"/>
  <c r="Q27" i="5"/>
  <c r="AA27" i="5" s="1"/>
  <c r="Q28" i="5"/>
  <c r="AK28" i="5" s="1"/>
  <c r="Q30" i="5"/>
  <c r="AK30" i="5" s="1"/>
  <c r="Q32" i="5"/>
  <c r="AA3" i="5"/>
  <c r="AH37" i="5"/>
  <c r="AE1" i="5"/>
  <c r="G3" i="5" s="1"/>
  <c r="AJ2" i="14" s="1"/>
  <c r="B34" i="5"/>
  <c r="AK40" i="5"/>
  <c r="X7" i="5"/>
  <c r="AK51" i="5"/>
  <c r="L28" i="5"/>
  <c r="K28" i="5" s="1"/>
  <c r="F26" i="7"/>
  <c r="E26" i="7"/>
  <c r="C27" i="7"/>
  <c r="D26" i="7"/>
  <c r="D34" i="5"/>
  <c r="R12" i="14"/>
  <c r="T9" i="14"/>
  <c r="T11" i="14"/>
  <c r="T13" i="14"/>
  <c r="AE6" i="5"/>
  <c r="G4" i="5" s="1"/>
  <c r="L9" i="5"/>
  <c r="K9" i="5" s="1"/>
  <c r="E24" i="7"/>
  <c r="R13" i="14"/>
  <c r="T14" i="14"/>
  <c r="D24" i="7"/>
  <c r="AE4" i="5"/>
  <c r="AF4" i="5" s="1"/>
  <c r="R9" i="14"/>
  <c r="AH38" i="5"/>
  <c r="AE5" i="5"/>
  <c r="AK16" i="5"/>
  <c r="G25" i="5"/>
  <c r="AE2" i="5"/>
  <c r="R10" i="14"/>
  <c r="R14" i="14"/>
  <c r="T10" i="14"/>
  <c r="T12" i="14"/>
  <c r="AF5" i="5"/>
  <c r="E25" i="7"/>
  <c r="D25" i="7"/>
  <c r="F25" i="7"/>
  <c r="E23" i="5"/>
  <c r="AF3" i="5"/>
  <c r="P14" i="7"/>
  <c r="P15" i="7" s="1"/>
  <c r="P16" i="7" s="1"/>
  <c r="P17" i="7" s="1"/>
  <c r="P18" i="7" s="1"/>
  <c r="P19" i="7" s="1"/>
  <c r="P20" i="7" s="1"/>
  <c r="P21" i="7" s="1"/>
  <c r="P22" i="7" s="1"/>
  <c r="P23" i="7" s="1"/>
  <c r="AF1" i="5"/>
  <c r="AF7" i="5"/>
  <c r="B44" i="5"/>
  <c r="E6" i="5" s="1"/>
  <c r="Z22" i="14"/>
  <c r="D25" i="5"/>
  <c r="AG10" i="5"/>
  <c r="X17" i="5" s="1"/>
  <c r="AG11" i="5"/>
  <c r="X19" i="5" s="1"/>
  <c r="I25" i="5"/>
  <c r="Z29" i="14"/>
  <c r="E2" i="5"/>
  <c r="S27" i="14"/>
  <c r="B25" i="5"/>
  <c r="D24" i="5"/>
  <c r="E24" i="5" s="1"/>
  <c r="E21" i="5"/>
  <c r="X4" i="5"/>
  <c r="X5" i="5"/>
  <c r="X2" i="5"/>
  <c r="V56" i="14" s="1"/>
  <c r="X6" i="5"/>
  <c r="X3" i="5"/>
  <c r="AK50" i="5" l="1"/>
  <c r="X20" i="5"/>
  <c r="X23" i="5"/>
  <c r="AK37" i="5"/>
  <c r="X21" i="5"/>
  <c r="G6" i="5"/>
  <c r="J18" i="14" s="1"/>
  <c r="T17" i="5"/>
  <c r="U28" i="5"/>
  <c r="U29" i="5"/>
  <c r="U35" i="5"/>
  <c r="U11" i="5"/>
  <c r="U15" i="5"/>
  <c r="U36" i="5"/>
  <c r="U40" i="5"/>
  <c r="U44" i="5"/>
  <c r="U46" i="5"/>
  <c r="T34" i="5"/>
  <c r="U37" i="5"/>
  <c r="U39" i="5"/>
  <c r="G9" i="5"/>
  <c r="N20" i="14" s="1"/>
  <c r="T63" i="5"/>
  <c r="U66" i="5"/>
  <c r="T67" i="5"/>
  <c r="T64" i="5"/>
  <c r="T68" i="5"/>
  <c r="T69" i="5"/>
  <c r="T74" i="5"/>
  <c r="T71" i="5"/>
  <c r="T73" i="5"/>
  <c r="T65" i="5"/>
  <c r="T70" i="5"/>
  <c r="T66" i="5"/>
  <c r="W66" i="5" s="1"/>
  <c r="T72" i="5"/>
  <c r="T11" i="5"/>
  <c r="W11" i="5" s="1"/>
  <c r="T15" i="5"/>
  <c r="W15" i="5" s="1"/>
  <c r="T16" i="5"/>
  <c r="T18" i="5"/>
  <c r="T19" i="5"/>
  <c r="T20" i="5"/>
  <c r="T21" i="5"/>
  <c r="T22" i="5"/>
  <c r="W22" i="5" s="1"/>
  <c r="T23" i="5"/>
  <c r="T24" i="5"/>
  <c r="T48" i="5"/>
  <c r="T49" i="5"/>
  <c r="T50" i="5"/>
  <c r="T51" i="5"/>
  <c r="T52" i="5"/>
  <c r="T53" i="5"/>
  <c r="T54" i="5"/>
  <c r="U55" i="5"/>
  <c r="U56" i="5"/>
  <c r="U57" i="5"/>
  <c r="U58" i="5"/>
  <c r="U59" i="5"/>
  <c r="U61" i="5"/>
  <c r="U62" i="5"/>
  <c r="T8" i="5"/>
  <c r="T12" i="5"/>
  <c r="T42" i="5"/>
  <c r="T43" i="5"/>
  <c r="T45" i="5"/>
  <c r="U51" i="5"/>
  <c r="U52" i="5"/>
  <c r="U54" i="5"/>
  <c r="U67" i="5"/>
  <c r="T55" i="5"/>
  <c r="W55" i="5" s="1"/>
  <c r="T57" i="5"/>
  <c r="T59" i="5"/>
  <c r="W59" i="5" s="1"/>
  <c r="T61" i="5"/>
  <c r="W61" i="5" s="1"/>
  <c r="T9" i="5"/>
  <c r="T36" i="5"/>
  <c r="T37" i="5"/>
  <c r="W37" i="5" s="1"/>
  <c r="T38" i="5"/>
  <c r="T39" i="5"/>
  <c r="W39" i="5" s="1"/>
  <c r="U64" i="5"/>
  <c r="U69" i="5"/>
  <c r="T75" i="5"/>
  <c r="T76" i="5"/>
  <c r="T10" i="5"/>
  <c r="T14" i="5"/>
  <c r="T33" i="5"/>
  <c r="T56" i="5"/>
  <c r="W56" i="5" s="1"/>
  <c r="T58" i="5"/>
  <c r="W58" i="5" s="1"/>
  <c r="T60" i="5"/>
  <c r="T62" i="5"/>
  <c r="T25" i="5"/>
  <c r="T26" i="5"/>
  <c r="T27" i="5"/>
  <c r="U32" i="5"/>
  <c r="U26" i="5"/>
  <c r="U47" i="5"/>
  <c r="T13" i="5"/>
  <c r="U41" i="5"/>
  <c r="U42" i="5"/>
  <c r="T31" i="5"/>
  <c r="T32" i="5"/>
  <c r="W32" i="5" s="1"/>
  <c r="U19" i="5"/>
  <c r="U20" i="5"/>
  <c r="U22" i="5"/>
  <c r="U43" i="5"/>
  <c r="X16" i="5"/>
  <c r="AA77" i="5"/>
  <c r="AC77" i="5" s="1"/>
  <c r="X25" i="5"/>
  <c r="X24" i="5"/>
  <c r="X22" i="5"/>
  <c r="X18" i="5"/>
  <c r="Q16" i="5"/>
  <c r="Q18" i="5"/>
  <c r="AK18" i="5" s="1"/>
  <c r="Q17" i="5"/>
  <c r="AK17" i="5" s="1"/>
  <c r="Q20" i="5"/>
  <c r="Q22" i="5"/>
  <c r="AK22" i="5" s="1"/>
  <c r="Q24" i="5"/>
  <c r="AK24" i="5" s="1"/>
  <c r="Q19" i="5"/>
  <c r="AK19" i="5" s="1"/>
  <c r="Q21" i="5"/>
  <c r="AK21" i="5" s="1"/>
  <c r="Q23" i="5"/>
  <c r="AK23" i="5" s="1"/>
  <c r="Q25" i="5"/>
  <c r="AK25" i="5" s="1"/>
  <c r="AK33" i="5"/>
  <c r="AK27" i="5"/>
  <c r="AK44" i="5"/>
  <c r="E3" i="5"/>
  <c r="C24" i="5" s="1"/>
  <c r="G8" i="5"/>
  <c r="N18" i="14" s="1"/>
  <c r="AF2" i="5"/>
  <c r="H25" i="5"/>
  <c r="C34" i="5"/>
  <c r="Y69" i="5" s="1"/>
  <c r="T6" i="5"/>
  <c r="T7" i="5"/>
  <c r="U6" i="5"/>
  <c r="E7" i="5"/>
  <c r="R20" i="14" s="1"/>
  <c r="F27" i="7"/>
  <c r="D27" i="7"/>
  <c r="E27" i="7"/>
  <c r="C28" i="7"/>
  <c r="F28" i="7" s="1"/>
  <c r="AF6" i="5"/>
  <c r="I4" i="5"/>
  <c r="AJ3" i="14"/>
  <c r="H4" i="5"/>
  <c r="G2" i="5"/>
  <c r="AJ1" i="14" s="1"/>
  <c r="T2" i="5"/>
  <c r="U5" i="5"/>
  <c r="U2" i="5"/>
  <c r="T4" i="5"/>
  <c r="T5" i="5"/>
  <c r="U4" i="5"/>
  <c r="T3" i="5"/>
  <c r="U3" i="5"/>
  <c r="W26" i="5" l="1"/>
  <c r="W43" i="5"/>
  <c r="G7" i="5"/>
  <c r="J20" i="14" s="1"/>
  <c r="U14" i="5"/>
  <c r="W14" i="5" s="1"/>
  <c r="U30" i="5"/>
  <c r="U31" i="5"/>
  <c r="U33" i="5"/>
  <c r="U34" i="5"/>
  <c r="U16" i="5"/>
  <c r="U17" i="5"/>
  <c r="U21" i="5"/>
  <c r="U23" i="5"/>
  <c r="W23" i="5" s="1"/>
  <c r="U24" i="5"/>
  <c r="U25" i="5"/>
  <c r="U27" i="5"/>
  <c r="W27" i="5" s="1"/>
  <c r="T40" i="5"/>
  <c r="W40" i="5" s="1"/>
  <c r="T44" i="5"/>
  <c r="W44" i="5" s="1"/>
  <c r="T46" i="5"/>
  <c r="W46" i="5" s="1"/>
  <c r="U48" i="5"/>
  <c r="U49" i="5"/>
  <c r="W49" i="5" s="1"/>
  <c r="U50" i="5"/>
  <c r="U38" i="5"/>
  <c r="U65" i="5"/>
  <c r="U8" i="5"/>
  <c r="W8" i="5" s="1"/>
  <c r="U12" i="5"/>
  <c r="U9" i="5"/>
  <c r="U13" i="5"/>
  <c r="W13" i="5" s="1"/>
  <c r="T28" i="5"/>
  <c r="W28" i="5" s="1"/>
  <c r="T29" i="5"/>
  <c r="W29" i="5" s="1"/>
  <c r="T30" i="5"/>
  <c r="W30" i="5" s="1"/>
  <c r="W31" i="5"/>
  <c r="W36" i="5"/>
  <c r="W57" i="5"/>
  <c r="W42" i="5"/>
  <c r="W52" i="5"/>
  <c r="W48" i="5"/>
  <c r="W21" i="5"/>
  <c r="W16" i="5"/>
  <c r="W64" i="5"/>
  <c r="W34" i="5"/>
  <c r="W25" i="5"/>
  <c r="W9" i="5"/>
  <c r="W12" i="5"/>
  <c r="W51" i="5"/>
  <c r="W24" i="5"/>
  <c r="W20" i="5"/>
  <c r="W67" i="5"/>
  <c r="W17" i="5"/>
  <c r="U10" i="5"/>
  <c r="W10" i="5" s="1"/>
  <c r="T47" i="5"/>
  <c r="W47" i="5" s="1"/>
  <c r="U60" i="5"/>
  <c r="W60" i="5" s="1"/>
  <c r="U71" i="5"/>
  <c r="W71" i="5" s="1"/>
  <c r="U72" i="5"/>
  <c r="W72" i="5" s="1"/>
  <c r="U18" i="5"/>
  <c r="W18" i="5" s="1"/>
  <c r="T41" i="5"/>
  <c r="W41" i="5" s="1"/>
  <c r="U53" i="5"/>
  <c r="W53" i="5" s="1"/>
  <c r="U63" i="5"/>
  <c r="W63" i="5" s="1"/>
  <c r="U73" i="5"/>
  <c r="W73" i="5" s="1"/>
  <c r="U70" i="5"/>
  <c r="W70" i="5" s="1"/>
  <c r="U75" i="5"/>
  <c r="U45" i="5"/>
  <c r="W45" i="5" s="1"/>
  <c r="U68" i="5"/>
  <c r="W68" i="5" s="1"/>
  <c r="U74" i="5"/>
  <c r="W74" i="5" s="1"/>
  <c r="T35" i="5"/>
  <c r="W35" i="5" s="1"/>
  <c r="U76" i="5"/>
  <c r="W76" i="5" s="1"/>
  <c r="W62" i="5"/>
  <c r="W33" i="5"/>
  <c r="W75" i="5"/>
  <c r="W38" i="5"/>
  <c r="W54" i="5"/>
  <c r="W50" i="5"/>
  <c r="W19" i="5"/>
  <c r="W65" i="5"/>
  <c r="W69" i="5"/>
  <c r="U7" i="5"/>
  <c r="W7" i="5" s="1"/>
  <c r="W5" i="5"/>
  <c r="W6" i="5"/>
  <c r="D28" i="7"/>
  <c r="E28" i="7"/>
  <c r="W2" i="5"/>
  <c r="T56" i="14" s="1"/>
  <c r="W3" i="5"/>
  <c r="W4" i="5"/>
</calcChain>
</file>

<file path=xl/sharedStrings.xml><?xml version="1.0" encoding="utf-8"?>
<sst xmlns="http://schemas.openxmlformats.org/spreadsheetml/2006/main" count="5496" uniqueCount="2078">
  <si>
    <t>Egy pontért vagy az előadóművészeti ( Csábítás, Szónoklás, Színészet, Zene, Tánc, Manadinamika) vagy a képzőművészeti szakértelmek (Minden Képzőművészet alá tartozó képzettség, Kreatív írás, Képzőművészet, Gasztronómia). Két pontért minden művészeti képzettség szorzója kisebb.</t>
  </si>
  <si>
    <t xml:space="preserve">Átváltozott alakban nagyobb az átlagnál. </t>
  </si>
  <si>
    <t>Empátia - 4</t>
  </si>
  <si>
    <t>Emberiség - 4</t>
  </si>
  <si>
    <t>Érzelmek kiszagolása - 4</t>
  </si>
  <si>
    <t>Fáradhatatlan - 3</t>
  </si>
  <si>
    <t>Fáradhatatlan - 4</t>
  </si>
  <si>
    <t>Fogékony - 4</t>
  </si>
  <si>
    <t>Fotomemória - 4</t>
  </si>
  <si>
    <t>Gének ereje - 4</t>
  </si>
  <si>
    <t>Gyors mozgás - 4</t>
  </si>
  <si>
    <t>Gyors reflexek - 3</t>
  </si>
  <si>
    <t>Gyors reflexek - 4</t>
  </si>
  <si>
    <t>Hazai pálya - 4</t>
  </si>
  <si>
    <t>Híres - 4</t>
  </si>
  <si>
    <t>Igaz hit - 4</t>
  </si>
  <si>
    <t>Jóakaró - 4</t>
  </si>
  <si>
    <t>Kapcsolatok - 4</t>
  </si>
  <si>
    <t>Kitartó - 4</t>
  </si>
  <si>
    <t>Könnyű tanulás - 4</t>
  </si>
  <si>
    <t>Kritikus találat - 4</t>
  </si>
  <si>
    <t>Magas fájdalomküszöb  - 3</t>
  </si>
  <si>
    <t>Magas fájdalomküszöb  - 4</t>
  </si>
  <si>
    <t>Magas ingerküszöb - 4</t>
  </si>
  <si>
    <t>Mágiaimmunitás - 4</t>
  </si>
  <si>
    <t>Menedék - 4</t>
  </si>
  <si>
    <t>Méregellenálló - 4</t>
  </si>
  <si>
    <t>Motiváció - 4</t>
  </si>
  <si>
    <t>Nagy - 4</t>
  </si>
  <si>
    <t>Nyáj - 4</t>
  </si>
  <si>
    <t>Pihentető alvás - 4</t>
  </si>
  <si>
    <t>Pókerarc - 4</t>
  </si>
  <si>
    <t>Segítő körülmények - 4</t>
  </si>
  <si>
    <t>Segítőtárs - 4</t>
  </si>
  <si>
    <t>Stabil - 3</t>
  </si>
  <si>
    <t>Stabil - 4</t>
  </si>
  <si>
    <t>Tekintély - 4</t>
  </si>
  <si>
    <t>Veszett tehetség - 4</t>
  </si>
  <si>
    <t>Vitalitás - 4</t>
  </si>
  <si>
    <t>A Jövő hiánya I</t>
  </si>
  <si>
    <t>Vendigó - 4</t>
  </si>
  <si>
    <t>Válogatós vadász - 4</t>
  </si>
  <si>
    <t>Territórium - 4</t>
  </si>
  <si>
    <t>Taszító - 4</t>
  </si>
  <si>
    <t>Született bestia - 4</t>
  </si>
  <si>
    <t>Szubmisszív - 4</t>
  </si>
  <si>
    <t>Szegény - 4</t>
  </si>
  <si>
    <t>Sebesült - 4</t>
  </si>
  <si>
    <t>Priusz - 4</t>
  </si>
  <si>
    <t>Piperkőc - 4</t>
  </si>
  <si>
    <t>Önbizalomhiány - 4</t>
  </si>
  <si>
    <t>Nehéz tanulás - 4</t>
  </si>
  <si>
    <t>Nehéz helyzet - 4</t>
  </si>
  <si>
    <t>Méregérzékeny - 4</t>
  </si>
  <si>
    <t>Mentális betegség - 4</t>
  </si>
  <si>
    <t>Részleges átalakulás, Emberiség, Született bestia</t>
  </si>
  <si>
    <t>Varázstalan</t>
  </si>
  <si>
    <t>Változó</t>
  </si>
  <si>
    <t xml:space="preserve">Alacsony fájdalomküszöb </t>
  </si>
  <si>
    <t>Magas fájdalomküszöb</t>
  </si>
  <si>
    <t>Alacsony ingerküszöb</t>
  </si>
  <si>
    <t>Ha a karakter sokk vagy egyéb nem cselekvés hatására veszít mentális fáradáspontot, akkor a veszteség hátránypontonként 20%-kal több.</t>
  </si>
  <si>
    <t>Alárendelt</t>
  </si>
  <si>
    <t>Allergia</t>
  </si>
  <si>
    <t>Audiovizuális hiba</t>
  </si>
  <si>
    <t>Éles érzékek</t>
  </si>
  <si>
    <t>Beteges motiváció</t>
  </si>
  <si>
    <t>Bizonyos körökben Szociális képzettségekre (Kereskedelem, Szexuális kultúra, Csábítás, Színészet, Szónoklás, Csalás, Megfélemlítés, Meggyőzés, Vallatás, Diplomácia) +D6-tal dobhatsz. Pontértéke a tekintélyt elismerő kör nagyságától és beosztásától függ.</t>
  </si>
  <si>
    <t>A mágia nehéz tudomány, de a karakter bizonyos területen - vagy terüeteken - jobb az átlagnál.</t>
  </si>
  <si>
    <t>Ahány ponton veszed fel az előnyt, annyi mágikus képzettséget választhatsz, melyeknek a szorzója eggyel kisebb.</t>
  </si>
  <si>
    <t>Lehet, hogy nem egy izomkolosszus, esetleg könnyen sérül, de tény, hogy többet is elvisel.</t>
  </si>
  <si>
    <t>Előnypontokként +5 ÉP jár.</t>
  </si>
  <si>
    <t xml:space="preserve">Nincs, aki segítsen neki, nincs aki tanítsa. Nemzője meghalt vagy elhagyta, mindenesetre nincs, elvesztette. </t>
  </si>
  <si>
    <t>Lassabban nyeri vissza az elvesztett ÉP-ket, csupán hat óra pihenés után egyet.</t>
  </si>
  <si>
    <t>Azok a kisebb vérveszteségek, amik másoknak meg sem kottyannak, a karakternek komoly gyengeséget okoznak.</t>
  </si>
  <si>
    <t>A karakter első pillantásra antipatikus mások számára. Lehet kedves, mosolyoghat örökké, mégis van benne valami.. megmagyarázhatatlanul kellemetlen. Persze, ha megismerik, ez bizonyosan változik.</t>
  </si>
  <si>
    <t>Teljesen ismeretlenekkel szemben szociális képzettségpróbák egy szinttel nehezebbek (Kereskedelem, Szexuális kultúra, Csábítás, Színészet, Szónoklás, Csalás, Megfélemlítés, Meggyőzés, Vallatás, Diplomácia).</t>
  </si>
  <si>
    <t xml:space="preserve">Igyekezett mindig távol tartani magát a balhéktól, harci helyzetektől. </t>
  </si>
  <si>
    <t>A Kitérésen kívül minden Harci szakértelmet egy szorzóval nehezebben fejleszt.</t>
  </si>
  <si>
    <t xml:space="preserve">Csak meglibben a nyári szellő, ő máris náthásan fekszik az ágyban, és feléli a papírzsebkendő-készleteit. Mindenféle betegséggel könnyebben megfertőződik, mivel elég gyenge az immunrendszere. </t>
  </si>
  <si>
    <t>Hogy elkapjon valamit, arra duplaannyi az esély, és fele olyan gyorsan gyógyul fel belőle. Ráadásul az influenzánál vannak jóval veszélyesebb betegségek is...</t>
  </si>
  <si>
    <t>Az emberség látszatát mindenki úgy tartja meg, ahogy tudja - neki egy út már le van zárva.</t>
  </si>
  <si>
    <t>Egyáltalán nem tudja lenyelni a halandók tápanyagait, csak a vért.</t>
  </si>
  <si>
    <t>Jó emésztés</t>
  </si>
  <si>
    <t xml:space="preserve">Jobb, ha valahogy elhallgatattja az áldozatát, hiszen hiába a sikeres vadászat, ha a préda pontosan érzi, mi történik: felszakad a bőre, és a vérét szívják. </t>
  </si>
  <si>
    <t>A koncepcionális előnyök és hátrányok értékének ki kell egymást egyenlítenie</t>
  </si>
  <si>
    <t>Bizonyos előnyök és hátrányok esetében specifikálni kell a hatást, erre az opcionálisan kitölthető mezőben van lehetőség</t>
  </si>
  <si>
    <t>Ötlet, kérés és kérdés esetén szintén a martion@alomvilag.hu címre lehet írni</t>
  </si>
  <si>
    <t>pont</t>
  </si>
  <si>
    <t>csoport mérete</t>
  </si>
  <si>
    <t>mikor</t>
  </si>
  <si>
    <t>mit</t>
  </si>
  <si>
    <t>kiskorú</t>
  </si>
  <si>
    <t>szökőévente</t>
  </si>
  <si>
    <t>enyhe próbával egyenértékű feladatot</t>
  </si>
  <si>
    <t>fiatalkorú</t>
  </si>
  <si>
    <t>évente</t>
  </si>
  <si>
    <t>normál próbával egyenértékű feladatot</t>
  </si>
  <si>
    <t>egyetemista</t>
  </si>
  <si>
    <t>félévente</t>
  </si>
  <si>
    <t>hősies próbával egyenértékű feladatot</t>
  </si>
  <si>
    <t>gyakornok</t>
  </si>
  <si>
    <t>negyedévente</t>
  </si>
  <si>
    <t>elérhetetlen próbával egyenértékű feladatot</t>
  </si>
  <si>
    <t>beosztott</t>
  </si>
  <si>
    <t>havonta</t>
  </si>
  <si>
    <t>olyan tevékenységet, amely nem ütközik az érdekeibe</t>
  </si>
  <si>
    <t>középvezető</t>
  </si>
  <si>
    <t>kéthetente</t>
  </si>
  <si>
    <t>olyan tevékenységet, amely nem ütközik törvénybe</t>
  </si>
  <si>
    <t>felsővezető</t>
  </si>
  <si>
    <t>hetente</t>
  </si>
  <si>
    <t>olyan tevékenységet, amely nem ütközik morális szabályokba</t>
  </si>
  <si>
    <t>naponta</t>
  </si>
  <si>
    <t>olyan tevékenységet, amely nem okoz fizikai/anyagi kárt neki</t>
  </si>
  <si>
    <t>magas pozícióban lévő</t>
  </si>
  <si>
    <t>négy óránként</t>
  </si>
  <si>
    <t>olyan tevékenységet, mely nem lehetetleníti el</t>
  </si>
  <si>
    <t>legnagyobb hatalom</t>
  </si>
  <si>
    <t>bármikor</t>
  </si>
  <si>
    <t>bármit</t>
  </si>
  <si>
    <t>milyen beosztású</t>
  </si>
  <si>
    <t>Célszám</t>
  </si>
  <si>
    <t>Szint neve</t>
  </si>
  <si>
    <t>FP</t>
  </si>
  <si>
    <t>0-4</t>
  </si>
  <si>
    <t>Egyszerű</t>
  </si>
  <si>
    <t xml:space="preserve">0-3 </t>
  </si>
  <si>
    <t>5-9</t>
  </si>
  <si>
    <t>Enyhe</t>
  </si>
  <si>
    <t>4-8</t>
  </si>
  <si>
    <t>10-14</t>
  </si>
  <si>
    <t>Közepes</t>
  </si>
  <si>
    <t>9-13</t>
  </si>
  <si>
    <t>15-19</t>
  </si>
  <si>
    <t>Normál</t>
  </si>
  <si>
    <t>14-17</t>
  </si>
  <si>
    <t>20-24</t>
  </si>
  <si>
    <t>Bonyolult</t>
  </si>
  <si>
    <t>18-21</t>
  </si>
  <si>
    <t>25-29</t>
  </si>
  <si>
    <t>Nehéz</t>
  </si>
  <si>
    <t>22-24</t>
  </si>
  <si>
    <t>30-34</t>
  </si>
  <si>
    <t>Komplikált</t>
  </si>
  <si>
    <t>25-27</t>
  </si>
  <si>
    <t>35-39</t>
  </si>
  <si>
    <t>Hősies</t>
  </si>
  <si>
    <t>28-29</t>
  </si>
  <si>
    <t>40-44</t>
  </si>
  <si>
    <t>Emberfeletti</t>
  </si>
  <si>
    <t>30-31</t>
  </si>
  <si>
    <t>45-49</t>
  </si>
  <si>
    <t>Elérhetetlen</t>
  </si>
  <si>
    <t>50 fölött</t>
  </si>
  <si>
    <t>Lehetetlen</t>
  </si>
  <si>
    <t>Szint</t>
  </si>
  <si>
    <t>34+1+…+1</t>
  </si>
  <si>
    <t>11+1+…+1</t>
  </si>
  <si>
    <t>11+</t>
  </si>
  <si>
    <t>Aurában 10-es élet észlelése</t>
  </si>
  <si>
    <t>Aktiválásra világít, mágiamentes területen fluoreszkál</t>
  </si>
  <si>
    <t>15-ös célszámú hazugságérzékelés mágiamentes területen is</t>
  </si>
  <si>
    <t>Aktiválásra aurában max. 2 kg tömegű fémet magához vonz, mágiamentes területen is</t>
  </si>
  <si>
    <t>A képzettséghez tartozó alképzettségek az "Alképzettség" fülön találhatóak, de Mesélői egyeztetéssel a felsoroltaktól különböző alképzettségek is felvehetőek.</t>
  </si>
  <si>
    <t>Fel lehet venni a segítő kézzel, ekkor segítségnyújtásnál mindkét előny egyszerre teljesül</t>
  </si>
  <si>
    <t xml:space="preserve">Rá bármilyen szituációban lehet számítani - és ilyenkor hozza ki magából a legjobbat. </t>
  </si>
  <si>
    <t>Együttműködésre képtelen, Nehézkes segítő</t>
  </si>
  <si>
    <t xml:space="preserve">Mindig tudja hova nyúljon, kinek kell a segíteni. Nagyon jó, akárki mellé elkel egy ilyen tehetség. </t>
  </si>
  <si>
    <t>Jóllakott</t>
  </si>
  <si>
    <t>Néma varázsló</t>
  </si>
  <si>
    <t>Ügyes</t>
  </si>
  <si>
    <t>Barátságos</t>
  </si>
  <si>
    <t>Hátrányok</t>
  </si>
  <si>
    <t>Álltalakból való visszaváltozása mindig az előny pontértékének megfelelő szinttel könnyebb. Teleholdak estéjén a visszaváltozás órákhoz kötött nehézségét az előny értékének kétszeresével tolja el a táblázatban.</t>
  </si>
  <si>
    <t>Ha fel is ismerhető a karakter, ezen képek alapján nem lehet megkeresni.</t>
  </si>
  <si>
    <t>Két anyanyelv</t>
  </si>
  <si>
    <t>Kétkezesség</t>
  </si>
  <si>
    <t>Könnyűalvó</t>
  </si>
  <si>
    <t>Művész</t>
  </si>
  <si>
    <t>Minden művészeti képzettséghez +D6 járul.</t>
  </si>
  <si>
    <t>Részleges átalakulás</t>
  </si>
  <si>
    <t>Szerencsések előnye</t>
  </si>
  <si>
    <t>Vezető</t>
  </si>
  <si>
    <t>Logikus</t>
  </si>
  <si>
    <t>Macskaügyesség</t>
  </si>
  <si>
    <t>Pallérozott elme</t>
  </si>
  <si>
    <t>Praktikus</t>
  </si>
  <si>
    <t>Sejtelem</t>
  </si>
  <si>
    <t>A vadak ura</t>
  </si>
  <si>
    <t>Az egyszerű dolgok teszik színessé a hétköznapokat. Lehet, hogy más ügyesebben keveri a bájitalokat, hamarabb nyer a kártyán, vagy pontosabban céloz, de ő a mindennapok hőse.</t>
  </si>
  <si>
    <t>Egy vagy több hátránynak megvan a maga előnye, melynek erősségét a Mesélő dönti el. Erre ez előnyre nem vehető fel hátulütő.</t>
  </si>
  <si>
    <t>Amikor lecsukták, megismert egy segítőkész rendőrt, netán egy mániákus szerencsejátékos kisebb vagyonra tett szert, esetleg az ínyencnek bejárása van a legjobb éttermekbe..</t>
  </si>
  <si>
    <t>Alképzettség</t>
  </si>
  <si>
    <t>reál</t>
  </si>
  <si>
    <t>humán</t>
  </si>
  <si>
    <t>Általános műveltség -</t>
  </si>
  <si>
    <t>Pókerarc - 2</t>
  </si>
  <si>
    <t>Segítő körülmények - 2</t>
  </si>
  <si>
    <t>Segítőtárs - 2</t>
  </si>
  <si>
    <t>Stabil - 2</t>
  </si>
  <si>
    <t>Tekintély - 2</t>
  </si>
  <si>
    <t>Veszett tehetség - 2</t>
  </si>
  <si>
    <t>Vitalitás - 2</t>
  </si>
  <si>
    <t>Vitalitás - 3</t>
  </si>
  <si>
    <t>Veszett tehetség - 3</t>
  </si>
  <si>
    <t>Tekintély - 3</t>
  </si>
  <si>
    <t>jövő hiánya</t>
  </si>
  <si>
    <t>A tapasztalati pontok kiszámíthatóak önállóan, kérhető hozzá Mesélői segítség</t>
  </si>
  <si>
    <t xml:space="preserve">Valamiféle betegséget hordoz a harapása, étkezésnél megfertőzi az adott embert. Hosszútávon senkinek sem jó, ha a karakter fertőző, mert előbb-utóbb megjelennek a menedék ajtajában a dühös tömegek. </t>
  </si>
  <si>
    <t xml:space="preserve">A karakter harapása fertőző betegséget terjeszt. Értéke a kór veszélyességétől függ. </t>
  </si>
  <si>
    <t xml:space="preserve">Kényes a gyoma, nem tehet róla. Megválogatja, mit eszik meg, és ha kell, inkább koplal, de amit nem akar, azt le nem tuszkolják a torkán. Persze nem csak ételben-italban, akármi másban is lehet válogatós. </t>
  </si>
  <si>
    <t xml:space="preserve">Mindent pontosan úgy kell csinálni, ahogy az a nagykönyvben meg van írva, különben nincs esélye. </t>
  </si>
  <si>
    <t>2 pontért a csak az egyik, négy pontért bármely komponens elhagyása esetén nem jön létre a varázslat.</t>
  </si>
  <si>
    <t xml:space="preserve">Kevésbé képes uralni a benne lakozó Fenevadat. </t>
  </si>
  <si>
    <t xml:space="preserve">Holdtöltekor a mentális fáradás alacsonyabb, szintenként 5%-al kevesebb marad. </t>
  </si>
  <si>
    <t xml:space="preserve">A karakter mozdulatai lassabbak, varázslatai lassabban jönnek létre. </t>
  </si>
  <si>
    <t xml:space="preserve">Lehet, hogy elbambult? Vagy csak álmos? Nem, valljuk be, egyszerűen csak lassú. </t>
  </si>
  <si>
    <t xml:space="preserve">Minden reflexpróbára - érték*2 pont. </t>
  </si>
  <si>
    <t xml:space="preserve">Ajánlatos, ha megtanul védekezni - de nagyon. Hisz, ha eltalálja egy átok, vége van. </t>
  </si>
  <si>
    <t>Nagy peche van: Nem tud lógni a suliból, mivel alig lesz beteg. Az immunrendszere rendkívül ellenálló a betegségekkel szemben. Van azonban egy jó hír: ellenállósága nem csak az influenzára terjed ki.</t>
  </si>
  <si>
    <t xml:space="preserve">Hogy elkapjon valamit, arra feleannyi az esély, ráadásul feleannyi idő alatt gyógyul fel belőle. </t>
  </si>
  <si>
    <t>Ha rettegi is a fém hűvös érintését, feleslegesen.</t>
  </si>
  <si>
    <t xml:space="preserve">Csak nevet azon, amikor mások rettegéssel telve nézek egy-egy ezüsttárgyra… és felveszi a legújabb ezüstfülbevalóját. </t>
  </si>
  <si>
    <t>Emberi alakban nem érzékeny az ezüstre: az ezüst tárgyak által okozott sérülés annyit sebez rajta csak, mint egy átlagos emberen.</t>
  </si>
  <si>
    <t xml:space="preserve">Mágikus képzettségpróbánál nincs balsiker. </t>
  </si>
  <si>
    <t xml:space="preserve">Amikor csata van, röpködnek körülötte a tűzgolyók és átkok, akkor érzi magát igazán elemében. Bizonyára remek katona lehetne. </t>
  </si>
  <si>
    <t xml:space="preserve">Senki nem ismeri fel a rajzait vagy a festményeit - persze rajta kívül. Netán énekelne? Inkább ne tegye. Tehetségtelen. Nem egy nagy talentum. </t>
  </si>
  <si>
    <t>Magnezit</t>
  </si>
  <si>
    <t>Ónix</t>
  </si>
  <si>
    <t>Pirit</t>
  </si>
  <si>
    <t>Riolit</t>
  </si>
  <si>
    <t>Rodonit</t>
  </si>
  <si>
    <t>Rózsakvarc</t>
  </si>
  <si>
    <t>5 célszámmal csökkenti az entitások rád gyakorolt hatását.</t>
  </si>
  <si>
    <t>Szodalit</t>
  </si>
  <si>
    <t>Tigrisszem</t>
  </si>
  <si>
    <t>Topáz</t>
  </si>
  <si>
    <t>Türkiz</t>
  </si>
  <si>
    <t>Turmalin</t>
  </si>
  <si>
    <t>Turultoll</t>
  </si>
  <si>
    <t>Griffkarom</t>
  </si>
  <si>
    <t>Vándordám-agancs</t>
  </si>
  <si>
    <t>Loreleihaj</t>
  </si>
  <si>
    <t>Higany</t>
  </si>
  <si>
    <t>Vér</t>
  </si>
  <si>
    <t>10%-al csökkenti a célpont védelmét</t>
  </si>
  <si>
    <t>Tinta</t>
  </si>
  <si>
    <t>Ivóvíz</t>
  </si>
  <si>
    <t>Jelen karakterlap az ÁlomVilág alapítvány Martion Szerepjátékához készült</t>
  </si>
  <si>
    <t>Világleírás és szabályrendszer:</t>
  </si>
  <si>
    <t>Mágikus</t>
  </si>
  <si>
    <t>Halál</t>
  </si>
  <si>
    <t>A vámpír a nappali alvás folyamán minden sérülését begyógyulja (elveszett végtagokat is visszanövesztheti), mely halála óta érte.</t>
  </si>
  <si>
    <t xml:space="preserve">Bármi újba fog, az elején biztos, hogy sikerrel jár. Későbbi sikereiért persze neki is meg kell majd dolgoznia, mint másoknak, azonban az első kísérleteit mindig siker koronázza. Így talán sokkal több dologgal próbálkozik, mint más, és könnyebben is talállja meg azt, amivel igazán szeretne majd komolyabban foglalkozni. </t>
  </si>
  <si>
    <t xml:space="preserve">Tehetős család, gazdag amerikai nagynéni, vagy menő munkahely? Egyre megy. Vagyonosabb, mint más, anyagilag többet engedhet meg magának. </t>
  </si>
  <si>
    <t>Élőlényt nem képes önszántából megsebezni, harcban is a békés megoldásra törekszik. Ha ennek ellenére sérülést okoz, a következő kört sokkban tölti, utána azonban minden erejével a sérült ellátására vagy megmentésére törekszik, ha pedig nem képes segíteni, a következő öt percet katatón állapotban tölti.</t>
  </si>
  <si>
    <t xml:space="preserve">A nappal során iszonyatos kínokat él át: rémálmok gyötrik, amikből nincs menekvés - soha. </t>
  </si>
  <si>
    <t>Lassú mozgás - 2</t>
  </si>
  <si>
    <t>Labilis - 2</t>
  </si>
  <si>
    <t>Kötött formulák - 2</t>
  </si>
  <si>
    <t>Kontrollálatlan - 2</t>
  </si>
  <si>
    <t>Kísérőjelenségek - 2</t>
  </si>
  <si>
    <t>Kicsi - 2</t>
  </si>
  <si>
    <t>Kényszerbetegség - 2</t>
  </si>
  <si>
    <t>Ínyenc - 2</t>
  </si>
  <si>
    <t>Hordozó - 2</t>
  </si>
  <si>
    <t>Hírhedt - 2</t>
  </si>
  <si>
    <t>Híg vér - 2</t>
  </si>
  <si>
    <t>Hendikep - 2</t>
  </si>
  <si>
    <t>Helyzetfüggő - 2</t>
  </si>
  <si>
    <t>Hátulütő - 2</t>
  </si>
  <si>
    <t>Hátráltató körülmények - 2</t>
  </si>
  <si>
    <t>Haragos - 2</t>
  </si>
  <si>
    <t>Hagyománytisztelő - 2</t>
  </si>
  <si>
    <t>Gyenge találat - 2</t>
  </si>
  <si>
    <t>Gyáva - 2</t>
  </si>
  <si>
    <t>Gének gyengesége - 2</t>
  </si>
  <si>
    <t>Fókuszfüggő - 2</t>
  </si>
  <si>
    <t>Fogyatékos - 2</t>
  </si>
  <si>
    <t>Fóbia - 2</t>
  </si>
  <si>
    <t>Fizikai betegség - 2</t>
  </si>
  <si>
    <t>Feledékeny - 2</t>
  </si>
  <si>
    <t>Fáradékony - 2</t>
  </si>
  <si>
    <t>Érzéketlen - 2</t>
  </si>
  <si>
    <t>Elkötelezett - 2</t>
  </si>
  <si>
    <t>Dekoncentrált - 2</t>
  </si>
  <si>
    <t>Beteges motiváció - 2</t>
  </si>
  <si>
    <t>Beteges mánia - 2</t>
  </si>
  <si>
    <t>Berzerker - 2</t>
  </si>
  <si>
    <t>2 pontért az vagy a fizikai vagy a mágikus ösztöne nem használható, 4 pontért pedig egyik sem. Nem mágus karakterek csak két pontért vehetik fel!</t>
  </si>
  <si>
    <t>Túlfejlett - 4</t>
  </si>
  <si>
    <t>Túlfejlett - 2 (fizikai)</t>
  </si>
  <si>
    <t>Túlfejlett - 2 (mágikus)</t>
  </si>
  <si>
    <t>Túlfejlett f</t>
  </si>
  <si>
    <t>Túlfejlett m</t>
  </si>
  <si>
    <t>Iszonyatos sokként érte az éjlénnyé válás.</t>
  </si>
  <si>
    <t xml:space="preserve">Nincs esély. Hiába minden kísérlet, gyakorlás, tanulás. </t>
  </si>
  <si>
    <t>Beazonosítható - 2</t>
  </si>
  <si>
    <t>Audiovizuális hiba - 2</t>
  </si>
  <si>
    <t>Amnézia - 2</t>
  </si>
  <si>
    <t>Aluszékony - 2</t>
  </si>
  <si>
    <t>Allergia - 2</t>
  </si>
  <si>
    <t>Addikció - 1</t>
  </si>
  <si>
    <t>Agresszió - 1</t>
  </si>
  <si>
    <t>Alacsony fájdalomküszöb - 1</t>
  </si>
  <si>
    <t>Alacsony fájdalomküszöb - 2</t>
  </si>
  <si>
    <t>Alacsony fájdalomküszöb - 3</t>
  </si>
  <si>
    <t>Alacsony fájdalomküszöb - 4</t>
  </si>
  <si>
    <t>Alacsony ingerküszöb - 1</t>
  </si>
  <si>
    <t>Alárendelt - 1</t>
  </si>
  <si>
    <t>Allergia - 1</t>
  </si>
  <si>
    <t>Aluszékony - 1</t>
  </si>
  <si>
    <t>Domináns - 2</t>
  </si>
  <si>
    <t>Éber - 2</t>
  </si>
  <si>
    <t>Egyszerű helyzet - 2</t>
  </si>
  <si>
    <t>Előny - 2</t>
  </si>
  <si>
    <t>Emberiség - 2</t>
  </si>
  <si>
    <t>Empátia - 2</t>
  </si>
  <si>
    <t>Az ezzel varázsoltak úgy jönnek létre, mintha a használó rendelkezne Gondos varázsló előnnyel</t>
  </si>
  <si>
    <t>Dupla reggeli, dupla ebéd, dupla vacsora dukál neki, hiszen csak feleannnyi fáradáspontot nyer egy a táplálkozásból, mint amennyi járna.</t>
  </si>
  <si>
    <t>Ha a játékos mágikus próbát tesz, nem határozhat meg célszámot, a maximális értéket hajtja végre és fáradja le.</t>
  </si>
  <si>
    <t xml:space="preserve">Sajnos benne van a pakliban, hogy ma semmi nem sikerül neki. Lehet, éppen azt sem veszi észre, ami kiböki a szemét, vagy még azt is elejti, amit máskor soha. Ám előfordul, hogy határozottan határozatlan, és más mondja meg, mit csináljon, még ha amúgy makacs is. </t>
  </si>
  <si>
    <t>Képes kiszagolni az emberek érzelmeit, ha nem mutatják, akkor is; a célpont akaraterejétől függően. 1 pontért: 12 alatt 2 pontért: 14 alatt 3: 16 alatt 4: 18 alatt.</t>
  </si>
  <si>
    <t>Telefonszámok? Arcok, nevek? Dallamok, kották? Leírt szövegek? Valamelyik biztos, hogy első látásra vagy hallásra megragad benne.</t>
  </si>
  <si>
    <t>7.5</t>
  </si>
  <si>
    <t xml:space="preserve">Vannak olyan emberek, akik elképesztően könnyen tanulnak meg nyelveket, és már ifjú korukra több nyelvvizsgával rendelkeznek. Ő pontosan ezek közé tartozik, hisz legyen akár élő, akár holt nyelv, sokkal könnyebben boldogul velük, mint mások. </t>
  </si>
  <si>
    <t>Nyelvek fejlesztésénél a szorzó eggyel kisebb (vagyis 2).</t>
  </si>
  <si>
    <t>Mi lehetne pontosabb eszköze az érzékelésnek, vagy a mozgásnak, mint amit a Fenevadtól kölcsönzünk?</t>
  </si>
  <si>
    <t>A likantróp képes csak bizonyos testrészei átváltoztatására. Ilyenkor megkapja a testrészeire vonatkozó pluszpontokat, azonban ezzel a testrésszel fertőzhet is, és az átváltozás  2-vel csökkenti a mentális fáradáspontot.</t>
  </si>
  <si>
    <t xml:space="preserve">Előfordul, hogy valami nem úgy sikerül, ahogy szeretnénk, de őt ez nem keserít el, mivel némi fáradtság árán képes a javításra. </t>
  </si>
  <si>
    <t>Balsikert követően a próba nehézségének megfelelő FP-ért újra lehet dobni a próbát.</t>
  </si>
  <si>
    <t>Beteges motiváció - 3</t>
  </si>
  <si>
    <t>Dekoncentrált - 3</t>
  </si>
  <si>
    <t>Elkötelezett - 3</t>
  </si>
  <si>
    <t>Érzéketlen - 3</t>
  </si>
  <si>
    <t>Érzéketlen - 4</t>
  </si>
  <si>
    <t>Fáradékony - 3</t>
  </si>
  <si>
    <t>Feledékeny - 3</t>
  </si>
  <si>
    <t>Fizikai betegség - 3</t>
  </si>
  <si>
    <t>Fóbia - 3</t>
  </si>
  <si>
    <t>Fogyatékos - 3</t>
  </si>
  <si>
    <t>Fókuszfüggő - 3</t>
  </si>
  <si>
    <t>Gének gyengesége - 3</t>
  </si>
  <si>
    <t>Gyáva - 3</t>
  </si>
  <si>
    <t>Gyenge találat - 3</t>
  </si>
  <si>
    <t>A varázslás különösen jó hatással van rá. Ha fáj valamije, egyszerűen csak varázsol egy-kettőt, és máris jobban van.</t>
  </si>
  <si>
    <t>Minden sikeres varázslatot követően a varázslat szintjének megfelelő életerőt nyer vissza. (Kivéve, ha a karakter már az életerejéből varázsol.) Zúzott, törött sebesülések esetén veszélyes lehet, mivel a csontokat nem állítja vissza a megfelelő helyükre.</t>
  </si>
  <si>
    <t xml:space="preserve">Valahogy mindig minden sikerül, amibe fog. Legyen az új dolog, vagy régen begyakorolt. Míg másokra igaz Murphy törvénye: "Ami elromolhat az el is romlik", rá ez korántsem, hiszen valahogy minden helyzetben szerencsés. </t>
  </si>
  <si>
    <t>Amikor a gyávák azt mondják, előre, ő azt kiáltja: utánam! Ő tör a csatasor élére, neki kerül elsőnek fegyver a kezébe, és bátran végre is hajtja, amit eltervezett.</t>
  </si>
  <si>
    <t>Egy képzettségnek maximum értéke nem 20, hanem 25. Érték*3 pontból kell képzettséget választani a szorzók alapján. (A módosított szorzók alapján.)</t>
  </si>
  <si>
    <t>Vannak olyanok, akik még a hátrányokból is képesek előnyt kovácsolni.</t>
  </si>
  <si>
    <t>Egy rész megfontoltság, két rész tapasztalat, egy csipetnyi empátia, jó adag belátásba csomagolva.</t>
  </si>
  <si>
    <t>Egy kis pihenés, és máris újra talpon van, hogy folytassa, amit félbe kellett hagynia egy kis sérülés miatt.</t>
  </si>
  <si>
    <t>Precíz karmok</t>
  </si>
  <si>
    <t>Higanyos mozgás</t>
  </si>
  <si>
    <t>pártfogó</t>
  </si>
  <si>
    <t>Egy hátránypont értékért 3 szorzónyi nem mágikus képzettségről kell lemondani, ezek nem fejleszthetőek. Ha mégis használni akarná valamelyiket, akkor csak a módosítókból meglévő szintre képes, és balsiker próbát kell dobni rá (melynek értéke nem adódik a próbához). A hátrány értékének megfelelő típusú képzettségből kell választani.</t>
  </si>
  <si>
    <t xml:space="preserve">A szuri csak olyan, mint a szúnyogcsípés - tudja, hogy mindenki hazudik. Bármi, ami fájhat, az borzalmas kínokat okoz neki. </t>
  </si>
  <si>
    <t>A fizikai sérülések érték*20%-al többet sebeznek a karakteren.</t>
  </si>
  <si>
    <t>Az ellene használt szociális próbákra (Kereskedelem, Szexuális kultúra, Csábítás, Színészet, Szónoklás, Csalás, Megfélemlítés, Meggyőzés, Vallatás, Diplomácia) való ellenállási kísérlet a hátrány értékének megfelelő szinttel nehezebb.</t>
  </si>
  <si>
    <t xml:space="preserve">Hiába egy elhatározás, ha utána nem képes kiállni mellette. </t>
  </si>
  <si>
    <t xml:space="preserve">Parlagfű, mogyoró, macskaszőr…és összes gonosz barátaik. Neki mindegy, de jobb, ha tart magánál zsebkendőt, sprayt, vagy valami gyógyszert. </t>
  </si>
  <si>
    <t xml:space="preserve">Az észlelés alapú cselekvések számára megerőltetőbbek, hiszen egy idegen tárgyon keresztül kell felfognia a körülötte lévő világot.. </t>
  </si>
  <si>
    <t xml:space="preserve">Kényszeresen ragaszkodik valamihez (fizikai dologhoz, személyhez), akármi történik, az biztos, hogy a mániája az első. Nem áll egyenesen? Meg kell igazítania, mert katasztrófa történik, ha nem lehet. </t>
  </si>
  <si>
    <t>Fegyveres</t>
  </si>
  <si>
    <t>szál</t>
  </si>
  <si>
    <t>zúzó</t>
  </si>
  <si>
    <t>célzó</t>
  </si>
  <si>
    <t>Az alképzettségeken belül is vannak elismert kategóriák, ezeket viszont már nem kötelező nevesített módon feltüntetni a karakterlapon. Kérdéses esetben kérd a Mesélő segítségét!</t>
  </si>
  <si>
    <t>puska</t>
  </si>
  <si>
    <t>pisztoly</t>
  </si>
  <si>
    <t>íj/számszeríj</t>
  </si>
  <si>
    <t>hajító</t>
  </si>
  <si>
    <t>Lőfegyveres</t>
  </si>
  <si>
    <t>akna/gránát/rakétavető</t>
  </si>
  <si>
    <t>szúró-vágó-hasító</t>
  </si>
  <si>
    <t>Pusztakezes (fiz-fiz)</t>
  </si>
  <si>
    <t>Pusztakezes (ügy-fiz)</t>
  </si>
  <si>
    <t>Pusztakezes (ügy-ügy)</t>
  </si>
  <si>
    <t>capoeira</t>
  </si>
  <si>
    <t>tae-kwon-do</t>
  </si>
  <si>
    <t>aikido</t>
  </si>
  <si>
    <t>ninjutsu</t>
  </si>
  <si>
    <t>karate</t>
  </si>
  <si>
    <t>sambo</t>
  </si>
  <si>
    <t>krav-maga</t>
  </si>
  <si>
    <t>ökölvívás</t>
  </si>
  <si>
    <t>thai-box</t>
  </si>
  <si>
    <t>kick-box</t>
  </si>
  <si>
    <t>ji-jitsu</t>
  </si>
  <si>
    <t>system-A</t>
  </si>
  <si>
    <t>pencha silat</t>
  </si>
  <si>
    <t>birkózás</t>
  </si>
  <si>
    <t>judo</t>
  </si>
  <si>
    <t>box</t>
  </si>
  <si>
    <t>pankráció</t>
  </si>
  <si>
    <t>Ének stílus</t>
  </si>
  <si>
    <t>Hangszer</t>
  </si>
  <si>
    <t xml:space="preserve">Fotóművészet </t>
  </si>
  <si>
    <t xml:space="preserve">Filmművészet </t>
  </si>
  <si>
    <t xml:space="preserve">Előadóművészet - </t>
  </si>
  <si>
    <t>Előadóművészet</t>
  </si>
  <si>
    <t xml:space="preserve">Versszínház </t>
  </si>
  <si>
    <t xml:space="preserve">Bűvészet </t>
  </si>
  <si>
    <t xml:space="preserve">Zsonglőrködés </t>
  </si>
  <si>
    <t xml:space="preserve">Performansz </t>
  </si>
  <si>
    <t xml:space="preserve">Pantomim </t>
  </si>
  <si>
    <t xml:space="preserve">Hasbeszélés </t>
  </si>
  <si>
    <t xml:space="preserve">Cosplay </t>
  </si>
  <si>
    <t>A karakter jóléte valamilyen jól behatárolható eseménytől vagy cselekedettől függ. Ha nem jut hozzá a Mesélővel egyeztetett időtartamig a függőség tárgyához, minden képzettségpróba annyi szinttel nehezebb, amilyen értéken felvette a hátrányt.</t>
  </si>
  <si>
    <t>A karakter jóléte valamilyen kémiai szertől függ. Ha nem jut hozzá a Mesélővel egyeztetett időtartamig a függőség tárgyához, minden képzettségpróba annyi szinttel nehezebb, amilyen értéken felvette a hátrányt.</t>
  </si>
  <si>
    <t>Hátrány</t>
  </si>
  <si>
    <t>Előny</t>
  </si>
  <si>
    <t>A nemző hiánya</t>
  </si>
  <si>
    <t>Állatalak</t>
  </si>
  <si>
    <t>Állatka</t>
  </si>
  <si>
    <t>Gyors</t>
  </si>
  <si>
    <t>Lassú</t>
  </si>
  <si>
    <t>Művészeti</t>
  </si>
  <si>
    <t>d6</t>
  </si>
  <si>
    <t>Művésztehetség K - 1</t>
  </si>
  <si>
    <t>Művésztehetség E - 1</t>
  </si>
  <si>
    <t>Fenevad</t>
  </si>
  <si>
    <t>illékony</t>
  </si>
  <si>
    <t>Intézmény</t>
  </si>
  <si>
    <t>TP/év</t>
  </si>
  <si>
    <t>11 éves korig összesen:</t>
  </si>
  <si>
    <t>Összesen minden iskola előtti tapasztalatért, nem évenként.</t>
  </si>
  <si>
    <t>Mágikus középszint</t>
  </si>
  <si>
    <t>Martion, Tehetséggondozó, Franka, stb.</t>
  </si>
  <si>
    <t>Mágikus felsőoktatás</t>
  </si>
  <si>
    <t>100-150</t>
  </si>
  <si>
    <t>Magasabban kvalifikált többet ér (művész: 100, gemmárius: 150)</t>
  </si>
  <si>
    <t>Talan középszint</t>
  </si>
  <si>
    <t>50-75</t>
  </si>
  <si>
    <t>Gimnázium, Szakközépiskola, Szakiskola</t>
  </si>
  <si>
    <t>Talan felsoktatás</t>
  </si>
  <si>
    <t>75-100</t>
  </si>
  <si>
    <t>Főiskola, Egyetem</t>
  </si>
  <si>
    <t>Posztgraduális képzés</t>
  </si>
  <si>
    <t>Mágikus és talan egyaránt</t>
  </si>
  <si>
    <t>Mágikus kiegészítő képzés</t>
  </si>
  <si>
    <t>Mágikus OKJ-s jellegű képzés</t>
  </si>
  <si>
    <t>Talan kiegészítő képzés</t>
  </si>
  <si>
    <t>OKJ-s képzések</t>
  </si>
  <si>
    <t>Magánórák</t>
  </si>
  <si>
    <t>egyéni</t>
  </si>
  <si>
    <t>Mesélőtől függ</t>
  </si>
  <si>
    <t>Munkában töltött év / Munka kategória</t>
  </si>
  <si>
    <t>A</t>
  </si>
  <si>
    <t>B</t>
  </si>
  <si>
    <t>C</t>
  </si>
  <si>
    <t>D</t>
  </si>
  <si>
    <t>E</t>
  </si>
  <si>
    <t>1-10 év</t>
  </si>
  <si>
    <t>Mettől meddig</t>
  </si>
  <si>
    <t>évek száma</t>
  </si>
  <si>
    <t>Tanulás</t>
  </si>
  <si>
    <t>Kritikus találat</t>
  </si>
  <si>
    <t xml:space="preserve">Magas fájdalomküszöb </t>
  </si>
  <si>
    <t>Alacsony fájdalomküszöb</t>
  </si>
  <si>
    <t>Magas ingerküszöb</t>
  </si>
  <si>
    <t>Ha a karakter sokk vagy egyéb nem cselekvés hatására veszít mentális fáradáspontot, akkor a veszteség elönypontonként 20%-kal  kevesebb.</t>
  </si>
  <si>
    <t>Mágiaérzékeny</t>
  </si>
  <si>
    <t>Menedék</t>
  </si>
  <si>
    <t>Motiváció</t>
  </si>
  <si>
    <t>Segítő körülmények</t>
  </si>
  <si>
    <t>Segítőtárs</t>
  </si>
  <si>
    <t>Tekintély</t>
  </si>
  <si>
    <t>Veszett tehetség</t>
  </si>
  <si>
    <t>Megnyerő</t>
  </si>
  <si>
    <t>Békés</t>
  </si>
  <si>
    <t>Harcias</t>
  </si>
  <si>
    <t>Beteges</t>
  </si>
  <si>
    <t>Életerős</t>
  </si>
  <si>
    <t>Csak vér</t>
  </si>
  <si>
    <t>Fájdalmas harapás</t>
  </si>
  <si>
    <t>Fantáziátlan</t>
  </si>
  <si>
    <t>Művésztehetség</t>
  </si>
  <si>
    <t>A karakter kezében működnek a szent szimbólumok. Hármas szint felett vizet szentelhet, négyesel pedig akár tárgyakat is. Néhány perc folyamatos imádkozással (vallásnak megfelelő körülmények között) másfél óráig +érték*2 pontot lehet szétosztani a tulajdonságok között. (kivéve Intelligencia), így 18 fölé is mehet az érték, 20 fölé azonban nem. A karakter kezében működnek a szent szimbólumok. Hármas szint felett vizet szentelhet, négyesel pedig akár tárgyakat is (teológia 10 alappal).</t>
  </si>
  <si>
    <t>A harmadik szem. Eme misztikus dologról csak az igazi beavatottak állíthatják, hogy valóban létezik - s a karaktered közéjük tartozik. Hisz abban, hogy látomásai megmutatják a jövőt - s megfelelő tanulással még nagyobbra tárhatja "harmadik szemét". Erőteljes, tudatos megérzései vannak, amik az esetek döntő többségében beigazolódnak.</t>
  </si>
  <si>
    <t>Katonai műszaki tudományok</t>
  </si>
  <si>
    <t>Multidiszciplináris műszaki tudományok</t>
  </si>
  <si>
    <t>Orvostudományok</t>
  </si>
  <si>
    <t>Elméleti orvostudományok</t>
  </si>
  <si>
    <t>Klinikai orvostudományok</t>
  </si>
  <si>
    <t>Egészségtudományok</t>
  </si>
  <si>
    <t>Gyógyszertudományok</t>
  </si>
  <si>
    <t>Multidiszciplináris orvostudományok</t>
  </si>
  <si>
    <t>Agrártudományok</t>
  </si>
  <si>
    <t>Növénytermesztési és kertészeti tudományok</t>
  </si>
  <si>
    <t>Állatorvosi tudományok</t>
  </si>
  <si>
    <t>Állattenyésztési tudományok</t>
  </si>
  <si>
    <t>Élelmiszertudományok</t>
  </si>
  <si>
    <t>Erdészeti és vadgazdálkodási tudományok</t>
  </si>
  <si>
    <t>Multidiszciplináris agrártudományok</t>
  </si>
  <si>
    <t>Társadalomtudományok</t>
  </si>
  <si>
    <t>Gazdálkodás- és szervezéstudományok</t>
  </si>
  <si>
    <t>Közgazdaságtudományok</t>
  </si>
  <si>
    <t xml:space="preserve">Állam- és jogtudományok </t>
  </si>
  <si>
    <t>Szociológiai tudományok</t>
  </si>
  <si>
    <t>Politikatudományok</t>
  </si>
  <si>
    <t>Hadtudományok</t>
  </si>
  <si>
    <t>Multidiszciplináris társadalomtudományok</t>
  </si>
  <si>
    <t>Bölcsészettudományok</t>
  </si>
  <si>
    <t>Történelemtudományok</t>
  </si>
  <si>
    <t>Irodalomtudományok</t>
  </si>
  <si>
    <t>Nyelvtudományok</t>
  </si>
  <si>
    <t>Filozófiai tudományok</t>
  </si>
  <si>
    <t>Nevelés- és sporttudományok</t>
  </si>
  <si>
    <t>Pszichológiai tudományok</t>
  </si>
  <si>
    <t>Néprajz és kulturális antropológiai tudományok</t>
  </si>
  <si>
    <t>Művészeti és művelődéstörténeti tudományok</t>
  </si>
  <si>
    <t>Vallástudományok</t>
  </si>
  <si>
    <t>Média- és kommunikációs tudományok</t>
  </si>
  <si>
    <t>Multidiszciplináris bölcsészettudományok</t>
  </si>
  <si>
    <t>Hittudomány</t>
  </si>
  <si>
    <t>Művészetek</t>
  </si>
  <si>
    <t>Építőművészet</t>
  </si>
  <si>
    <t>Iparművészet</t>
  </si>
  <si>
    <t>Képzőművészet</t>
  </si>
  <si>
    <t>Színházművészet</t>
  </si>
  <si>
    <t>Film- és videoművészet</t>
  </si>
  <si>
    <t>Zeneművészet</t>
  </si>
  <si>
    <t>Tánc- és mozdulatművészet</t>
  </si>
  <si>
    <t>Multimédia</t>
  </si>
  <si>
    <t>Tudomány</t>
  </si>
  <si>
    <t>Agrártudományok -</t>
  </si>
  <si>
    <t xml:space="preserve">Képzőművészeti ágak </t>
  </si>
  <si>
    <t xml:space="preserve">Festészet </t>
  </si>
  <si>
    <t xml:space="preserve">Szobrászat </t>
  </si>
  <si>
    <t xml:space="preserve">Éremművészet </t>
  </si>
  <si>
    <t xml:space="preserve">Grafika </t>
  </si>
  <si>
    <t xml:space="preserve">Médiaművészet </t>
  </si>
  <si>
    <t xml:space="preserve">Intermédia </t>
  </si>
  <si>
    <t xml:space="preserve">Textilművészet </t>
  </si>
  <si>
    <t xml:space="preserve">Építészet </t>
  </si>
  <si>
    <t>Minden észlelés alapú próba fáradáspontja érték*2-vel nagyobbnak felel meg. Ha nem használja az észlelésjavító eszközét, minden Észlelés alapú próba nehezebb annyi szinttel, amilyen szinten felvette a hátrányt.</t>
  </si>
  <si>
    <t>A világossárga mezőkbe számokat írhatsz, melyek a karakter alapértékei lesznek</t>
  </si>
  <si>
    <t>Magának kell boldogulnia a szabályok és szokások útvesztőjében, míg meg nem szokja új helyzetét vagy valaki fel nem világosítja.</t>
  </si>
  <si>
    <t>Motiváció - 3</t>
  </si>
  <si>
    <t>Méregellenálló - 3</t>
  </si>
  <si>
    <t>Menedék - 3</t>
  </si>
  <si>
    <t>Mágiaimmunitás - 3</t>
  </si>
  <si>
    <t>Magas ingerküszöb - 3</t>
  </si>
  <si>
    <t>Kritikus találat - 3</t>
  </si>
  <si>
    <t>Könnyű tanulás - 3</t>
  </si>
  <si>
    <t>Kitartó - 3</t>
  </si>
  <si>
    <t>Kapcsolatok - 3</t>
  </si>
  <si>
    <t>Jóakaró - 3</t>
  </si>
  <si>
    <t>Igaz hit - 3</t>
  </si>
  <si>
    <t>Híres - 3</t>
  </si>
  <si>
    <t>Hazai pálya - 3</t>
  </si>
  <si>
    <t>Gyors mozgás - 3</t>
  </si>
  <si>
    <t>Gének ereje - 3</t>
  </si>
  <si>
    <t>Fotomemória - 3</t>
  </si>
  <si>
    <t>Fogékony - 3</t>
  </si>
  <si>
    <t>Érzelmek kiszagolása - 3</t>
  </si>
  <si>
    <t>Empátia - 3</t>
  </si>
  <si>
    <t>Emberiség - 3</t>
  </si>
  <si>
    <t>Előny - 3</t>
  </si>
  <si>
    <t>Egyszerű helyzet - 3</t>
  </si>
  <si>
    <t>Éber - 3</t>
  </si>
  <si>
    <t>Domináns - 3</t>
  </si>
  <si>
    <t>Csalogató - 3</t>
  </si>
  <si>
    <t>Bátor - 3</t>
  </si>
  <si>
    <t>Bajtárs - 3</t>
  </si>
  <si>
    <t>Anyagi háttér - 3</t>
  </si>
  <si>
    <t>A vér szaga - 3</t>
  </si>
  <si>
    <t>A tömeg arca - 3</t>
  </si>
  <si>
    <t>A nemző öröksége - 3</t>
  </si>
  <si>
    <t>A jövő ígérete II - 3</t>
  </si>
  <si>
    <t>A jövő ígérete II - 4</t>
  </si>
  <si>
    <t>A nemző öröksége - 4</t>
  </si>
  <si>
    <t>A tömeg arca - 4</t>
  </si>
  <si>
    <t>A vér szaga - 4</t>
  </si>
  <si>
    <t>Anyagi háttér - 4</t>
  </si>
  <si>
    <t>Az emberi határokon túl - 4</t>
  </si>
  <si>
    <t>Az emberi határokon túl - 3</t>
  </si>
  <si>
    <t>Bajtárs - 4</t>
  </si>
  <si>
    <t>Bátor - 4</t>
  </si>
  <si>
    <t>Csalogató - 4</t>
  </si>
  <si>
    <t>Domináns - 4</t>
  </si>
  <si>
    <t>Éber - 4</t>
  </si>
  <si>
    <t>Egyszerű helyzet - 4</t>
  </si>
  <si>
    <t>Előny - 4</t>
  </si>
  <si>
    <t>Gondatlan varázsló, Szerencsétlen, Üres lap, Szerencsés</t>
  </si>
  <si>
    <t>Pacifista, Paralízis</t>
  </si>
  <si>
    <t>Harcos</t>
  </si>
  <si>
    <t>Minden harci képzettséghez +D6 járul.</t>
  </si>
  <si>
    <t>Hőlátás</t>
  </si>
  <si>
    <t>Kéjes harapás</t>
  </si>
  <si>
    <t>Az ő zsákmánya akkor sem érez fájdalmat, ha nem dob Ragadozó próbát, vagy az nem sikeres.</t>
  </si>
  <si>
    <t>A karakternek van egy harmadik genotípusa, mely nem lehet azonos a korábbi kettővel.</t>
  </si>
  <si>
    <t>Ritkán, de előfordul, hogy valaki nem csak két, hanem három genotípussal is rendelkezik. Ezt páran orvosi csodaként definiálják, de meglehet, hogy valami egyéb van a hátterében.</t>
  </si>
  <si>
    <t>A vámpír bármit megehet, nem fogja azt visszaadni, mikor feljön a nap.</t>
  </si>
  <si>
    <t>Ha a játékos nem mágikus próbát dob, nem határozhat meg célszámot, a maximális értéket hajtja végre és fáradja le. 1 pontért általános típus képzettségeire 2: általános, művészeti, harci 3: általános, művészeti, harci, tudományos 4: minden nem mágikus próba esetén.</t>
  </si>
  <si>
    <t>Nehéz helyzet</t>
  </si>
  <si>
    <t>Egyszerű helyzet</t>
  </si>
  <si>
    <t>Nehéz tanulás</t>
  </si>
  <si>
    <t>Könnyű tanulás</t>
  </si>
  <si>
    <t>Önbizalomhiány</t>
  </si>
  <si>
    <t>Piperkőc</t>
  </si>
  <si>
    <t>Priusz</t>
  </si>
  <si>
    <t>Sebesült</t>
  </si>
  <si>
    <t>Szegény</t>
  </si>
  <si>
    <t>Anyagi háttér</t>
  </si>
  <si>
    <t>Emberiség, Emberi kötelékek</t>
  </si>
  <si>
    <t>Taszító</t>
  </si>
  <si>
    <t>Hátulütő</t>
  </si>
  <si>
    <t>Helyzetfüggő</t>
  </si>
  <si>
    <t>Hendikep</t>
  </si>
  <si>
    <t>Vitalitás</t>
  </si>
  <si>
    <t>Híg vér</t>
  </si>
  <si>
    <t>Erős vér</t>
  </si>
  <si>
    <t>Hírhedt</t>
  </si>
  <si>
    <t>Hordozó</t>
  </si>
  <si>
    <t>Ínyenc</t>
  </si>
  <si>
    <t>Kicsi</t>
  </si>
  <si>
    <t>Nagy</t>
  </si>
  <si>
    <t>Kísérőjelenségek</t>
  </si>
  <si>
    <t>Kötött formulák</t>
  </si>
  <si>
    <t>Testfókusz, Néma varázsló, Fókuszfügő</t>
  </si>
  <si>
    <t>Labilis</t>
  </si>
  <si>
    <t>Stabil</t>
  </si>
  <si>
    <t>Lassú mozgás</t>
  </si>
  <si>
    <t>Gyors mozgás</t>
  </si>
  <si>
    <t>Lassú reflexek</t>
  </si>
  <si>
    <t>Gyors reflexek</t>
  </si>
  <si>
    <t>Mágiaérzékenység</t>
  </si>
  <si>
    <t>Mágiaimmunitás</t>
  </si>
  <si>
    <t>Maximalista</t>
  </si>
  <si>
    <t>Ezüstellenállás</t>
  </si>
  <si>
    <t>Ezüsttűrő</t>
  </si>
  <si>
    <t>Gondos varázsló</t>
  </si>
  <si>
    <t>Ez a kő meghálálja a jótetteket: Minden elvarázsolt nem ártó szándékú varázslat szintenként egy célszámot eltárol a kőben. Minden összegyűjtött szint plusz egy akaraterőt ad a vele való varázsláskor. Maximum 25 célszámot tárol. Ártó szándékú varázslatra nem ad, és annak elvarázslása megszűnteti az addig gyűjtött "hálát"</t>
  </si>
  <si>
    <t>Vannak olyan helyzetek, amikor valahogy minden könnyebben megy. Talán ha sötét van, ha süt a nap, vagy fúj a szél, esetleg sárga ruhát visel.</t>
  </si>
  <si>
    <t>Az emberség megtartásának kulcsa: visszaszorítani a tomboló fenevadat.</t>
  </si>
  <si>
    <t xml:space="preserve">Vannak olyan emberek, akik elismerik a tudását, és az ilyen emberek talán könnyebben is bólintanak rá az őrült ötleteire. </t>
  </si>
  <si>
    <t>A Kapcsolati táblát igénylő előnyök és hátrányok esetén a Kapcsolati tábla fülből kell kiválasztani a megfelelő értékeket. Igény esetén színezéssel is lehet jelölni, hogy a ponteloszlás hogyan is történik. (Pl: Elkötelezett - 2: 16 pontot kell szétosztani.  1 emberre 1 pont, beosztás: középvezető 6 pont, gyakoriság: havonta 5 pont, elérhetetlen próbányi feladatvégrehajtás 4 pont, 1+6+5+4=16)</t>
  </si>
  <si>
    <t>Az előnyök és hátrányok elolvasása és megértése elvárt, enélkül nem érdemes használni ezeket</t>
  </si>
  <si>
    <t>Dekoncentrált</t>
  </si>
  <si>
    <t>Minden egyes felvett hátránypontonént -5 Mentális fáradáspont jár.</t>
  </si>
  <si>
    <t>Kitartó</t>
  </si>
  <si>
    <t>Elkötelezett</t>
  </si>
  <si>
    <t xml:space="preserve">Érzéketlen </t>
  </si>
  <si>
    <t>Fáradékony</t>
  </si>
  <si>
    <t>Fáradhatatlan</t>
  </si>
  <si>
    <t>Feledékeny</t>
  </si>
  <si>
    <t>Fóbia</t>
  </si>
  <si>
    <t>Fogyatékos</t>
  </si>
  <si>
    <t>Fókuszfüggő</t>
  </si>
  <si>
    <t>Gének gyengesége</t>
  </si>
  <si>
    <t>Gyáva</t>
  </si>
  <si>
    <t>Gyenge találat</t>
  </si>
  <si>
    <t>Hagyománytisztelő</t>
  </si>
  <si>
    <t>Haragos</t>
  </si>
  <si>
    <t>Hátráltató körülmények</t>
  </si>
  <si>
    <t>Maximalista - 4</t>
  </si>
  <si>
    <t>Mágiaérzékenység - 4</t>
  </si>
  <si>
    <t>Magányos farkas - 4</t>
  </si>
  <si>
    <t>Lassú reflexek - 4</t>
  </si>
  <si>
    <t>Lassú mozgás - 4</t>
  </si>
  <si>
    <t>Labilis - 4</t>
  </si>
  <si>
    <t>Kötött formulák - 4</t>
  </si>
  <si>
    <t>Kontrollálatlan - 4</t>
  </si>
  <si>
    <t>Kísérőjelenségek - 4</t>
  </si>
  <si>
    <t>Kicsi - 4</t>
  </si>
  <si>
    <t>Kényszerbetegség - 4</t>
  </si>
  <si>
    <t>Ínyenc - 4</t>
  </si>
  <si>
    <t>Szociális (Kereskedelem, Szexuális kultúra, Csábítás, Színészet, Szónoklás, Csalás, Megfélemlítés, Meggyőzés, Vallatás, Diplomácia) és előadóművészi képzettségeket a hátrány értékének megfelelő szinttel nehezebben hajt végre.</t>
  </si>
  <si>
    <t>A képletek és formázások módosítása nem ajánlott, amennyiben hibát veszel észre, írj a martion@alomvilag.hu címre</t>
  </si>
  <si>
    <t>Ha a mánia tárgya a közelben van, és a karakter nem vesz róla tudomást, percenként (harchelyzetben körönként) veszít szintnyi mentális fáradáspontot. 1 pontért szeret valamit, de hát van ilyen, mindenki ragaszkodhat valamihez. 4-ért ő is kezd gyanakodni, hogy az orvosnál lenne a helye, mert gyakori dührohamai vannak, ha nincs a mániája tárgya a közelben.</t>
  </si>
  <si>
    <t xml:space="preserve">Le kell ülnie öt méter után, míg a többiek akár huszat is megtesznek. Nem megy neki a huzamos terhelés, sokkal több pihenésre van szüksége. </t>
  </si>
  <si>
    <t>Nehéz tanulás - 3</t>
  </si>
  <si>
    <t>Nehéz helyzet - 3</t>
  </si>
  <si>
    <t>Méregérzékeny - 3</t>
  </si>
  <si>
    <t>Mentális betegség - 3</t>
  </si>
  <si>
    <t>Maximalista - 3</t>
  </si>
  <si>
    <t>Mágiaérzékenység - 3</t>
  </si>
  <si>
    <t>Magányos farkas - 3</t>
  </si>
  <si>
    <t>Lassú reflexek - 3</t>
  </si>
  <si>
    <t>Lassú mozgás - 3</t>
  </si>
  <si>
    <t>Labilis - 3</t>
  </si>
  <si>
    <t>Kötött formulák - 3</t>
  </si>
  <si>
    <t>Kontrollálatlan - 3</t>
  </si>
  <si>
    <t>Kísérőjelenségek - 3</t>
  </si>
  <si>
    <t>Kicsi - 3</t>
  </si>
  <si>
    <t>Kényszerbetegség - 3</t>
  </si>
  <si>
    <t>Ínyenc - 3</t>
  </si>
  <si>
    <t>Hordozó - 3</t>
  </si>
  <si>
    <t>Hírhedt - 3</t>
  </si>
  <si>
    <t>Hendikep - 3</t>
  </si>
  <si>
    <t>A Jövő hiánya I - 2</t>
  </si>
  <si>
    <t>Addikció - 2</t>
  </si>
  <si>
    <t>Agresszió - 2</t>
  </si>
  <si>
    <t>Alacsony ingerküszöb - 2</t>
  </si>
  <si>
    <t>Vendigó - 2</t>
  </si>
  <si>
    <t>Válogatós vadász - 2</t>
  </si>
  <si>
    <t>Territórium - 2</t>
  </si>
  <si>
    <t>Taszító - 2</t>
  </si>
  <si>
    <t>A jövő hiánya II - 2</t>
  </si>
  <si>
    <t>Alárendelt - 2</t>
  </si>
  <si>
    <t>Született bestia - 2</t>
  </si>
  <si>
    <t>Szubmisszív - 2</t>
  </si>
  <si>
    <t>Szegény - 2</t>
  </si>
  <si>
    <t>Sebesült - 2</t>
  </si>
  <si>
    <t>Priusz - 2</t>
  </si>
  <si>
    <t>Piperkőc - 2</t>
  </si>
  <si>
    <t>Önbizalomhiány - 2</t>
  </si>
  <si>
    <t>Nehéz tanulás - 2</t>
  </si>
  <si>
    <t>Nehéz helyzet - 2</t>
  </si>
  <si>
    <t>Méregérzékeny - 2</t>
  </si>
  <si>
    <t>Mentális betegség - 2</t>
  </si>
  <si>
    <t>Maximalista - 2</t>
  </si>
  <si>
    <t>Mágiaérzékenység - 2</t>
  </si>
  <si>
    <t>Magányos farkas - 2</t>
  </si>
  <si>
    <t>Lassú reflexek - 2</t>
  </si>
  <si>
    <t>Az alvásközbeni fáradásregenerálódás az előny értékének megfelelő órával gyorsabb.</t>
  </si>
  <si>
    <t>Ez amolyan lehetetlen szerencse, melyről a játék előtt beszélni/egyeztetni kell a Mesélővel, hogy figyelembe vehesse a későbbiekben.</t>
  </si>
  <si>
    <t>Emberi alakban is megkapja az állati alak bónuszait.</t>
  </si>
  <si>
    <t>Minden Intelligencia alapú képzettségpróbához (kivéve Tudományos, de Nyelv igen) +D6 járul.</t>
  </si>
  <si>
    <t>Professzorok professzora.</t>
  </si>
  <si>
    <t>Minden Gyakorlati képzettségpróbához +D6 járul.</t>
  </si>
  <si>
    <t>Minden Tudományos képzettségpróbához (nyelvre is) +D6 járul.</t>
  </si>
  <si>
    <t xml:space="preserve">Jó megérzéseinek következtében mindig tudja, miben mesterkedik ellenfele. </t>
  </si>
  <si>
    <t>Vacsora? Másnak két-három is kell, de ő eggyel is jól lakik.</t>
  </si>
  <si>
    <t>Dupla fáradáspontot nyer egy a táplálkozásból, kivéve, ha ez vámpírból vagy szerviensből történik.</t>
  </si>
  <si>
    <t xml:space="preserve">Már gyermekkora óta azt érzi, hogy könnyeben veszi az elmélet tanulásakor az akadályokat. Igazi kis tudós. </t>
  </si>
  <si>
    <t>A Tudományos képzettségek eggyel könnyebben fejleszthetőek, kivéve a Nyelvismereteket.</t>
  </si>
  <si>
    <t xml:space="preserve">Akadnak olyan helyzetek, amikor az ember tombolni, törni zúzni akar. Ő nem ezek közé az emberek közé tartozik, tengernyi a türelme. </t>
  </si>
  <si>
    <t>Az Akaraterő alapú képzettségekhez +D6 járul.</t>
  </si>
  <si>
    <t>Valami olyan erős kisugárzással rendelkezik, hogy a farkasok emberi alakban is hallgatnak a szavára.</t>
  </si>
  <si>
    <t xml:space="preserve">Egy személy vagy csoport olyasmit tett a karakteredért, amiért tartozik neki. </t>
  </si>
  <si>
    <t>Aurában a Művészeti képzettségekhez +d6 járul</t>
  </si>
  <si>
    <t>Aurában a Távoljáráshoz +2 járul</t>
  </si>
  <si>
    <t>Aurában a Jósláshoz +2 járul</t>
  </si>
  <si>
    <t>Aurában a Bájitalhoz +2 járul</t>
  </si>
  <si>
    <t>Aurában Általános képzettségekhez +d6 járul</t>
  </si>
  <si>
    <t>Aurában a Harci képzettségekre +d6 járul</t>
  </si>
  <si>
    <t>Anhidrit</t>
  </si>
  <si>
    <t>Aurában az Asztrálmágiákhoz +2 járul</t>
  </si>
  <si>
    <t>Malachit</t>
  </si>
  <si>
    <t>Megtanulta, hallott már róla, mintha…  lett volna valami, igen, de mi? Ha azt tudná, zseni lenne. Ismétléssel sem jut előrébb, ugyanúgy ideig-óráig marad meg benne, aztán huss, el is száll.</t>
  </si>
  <si>
    <t xml:space="preserve">Retteg, legyen az élő vagy élettelen, oly mindegy: Csak tartsák távol tőle. Akkor minden rendben van. </t>
  </si>
  <si>
    <t>Ha a félelem tárgya a közelben van, szint +1-es szintű Önuralom próbát kell tenni. Ha nem sikerül, a karakter pánikol, percenként, harci helyzetben körönként) szintnek megfelelő mentális fáradáspontot veszít.</t>
  </si>
  <si>
    <t>Szociális próbák</t>
  </si>
  <si>
    <t>Használt</t>
  </si>
  <si>
    <t>vezető</t>
  </si>
  <si>
    <t>Jövő Hiánya/Ígérete 2</t>
  </si>
  <si>
    <t>Jövő Hiánya/Ígérete 1</t>
  </si>
  <si>
    <t>jövőI í/h</t>
  </si>
  <si>
    <t>jövőII í/h</t>
  </si>
  <si>
    <t>veszett</t>
  </si>
  <si>
    <t>fogékony</t>
  </si>
  <si>
    <t>Senki sem segíthet</t>
  </si>
  <si>
    <t>Együttműködő</t>
  </si>
  <si>
    <t>Szerencsétlen</t>
  </si>
  <si>
    <t>1 pontért lehet, hogy csak a háziját adta kölcsön párszor - ezért cserébe ő nem hagyja, hogy megverjék -, ám 4-ért már meg is halna a személy helyett. Szintnek megfelelő pontot kell szétosztani a kapcsolati táblázat szerint, melyet fel kell tüntetni a karakterlapon, vagyis, hogy kinek tartozik a karakter, és mit tenne meg érte. 1: 13, 2: 16, 3: 19, 4: 22. Az elkötelezett hátrány többször is felvehető, azonban csak különböző személyekre/csoportokra.</t>
  </si>
  <si>
    <t>Amikor csak teheti, felfedi kilétét, arcról vagy akár névről is lehet tudni, hogy kiféle-miféle.</t>
  </si>
  <si>
    <t>Szintnyi előnynek megvan a maga hátulütője.</t>
  </si>
  <si>
    <t>Minden művészeti képzettséget egy szorzóval nehezebben fejleszt.</t>
  </si>
  <si>
    <t xml:space="preserve">A karakter szeme nem képes alkalmazkodni a fény utáni sötétséghez. Ennek oka lehet vitaminhiány, vagy öröklött probléma... de okozhatja az első átváltozás utáni hibás átrendeződés is. </t>
  </si>
  <si>
    <t>Szürkületben / félhomályban még emberi alakban sem lát jól. Ilyenkor egy szinttel nehezebb minden Észlelés alapú próba.</t>
  </si>
  <si>
    <t xml:space="preserve">Nem gondolkodik, az első ötletbe belevág, hirtelen cselekszik, és nem is ügyel arra, amire kellene. </t>
  </si>
  <si>
    <t>Varázslatpróbánál az első egyes számít balsikernek.</t>
  </si>
  <si>
    <t xml:space="preserve">Achillesnek a sarka, neki az orra. </t>
  </si>
  <si>
    <t>A tömeg arca</t>
  </si>
  <si>
    <t>Szubmisszív</t>
  </si>
  <si>
    <t>Nehezen befolyásolható, többnyire megfontolja, hogy mit miért tesz… de ha a többi éjlény kéri, akkor szinte azonnal ugrik.</t>
  </si>
  <si>
    <t>Aluszékony</t>
  </si>
  <si>
    <t>Az alvásközbeni fáradásregenerálódás a hátrány értékének megfelelő órával lassabb.</t>
  </si>
  <si>
    <t xml:space="preserve">Ő sokkal könnyebben rejti el azt, hogy mi lakozik benne; Talán egy génhiba eredménye, talán maradt benne elég emberi vonás. </t>
  </si>
  <si>
    <t>Egy genotípus</t>
  </si>
  <si>
    <t>Minden nap reggelén D6-tal ki kell dobni, mely tulajdonságnak az értéke aznapra 6: 1: észlelés, 2: ügyesség, 3: akaraterő, 4-5: te választhatsz, 6: egyik sem. Nem vehető fel ez a hátrány, ha a három tulajdonság közül bármelyik is hatos. Felvehető a Jobb lábballal, ekkor először a hátrány, aztán az előny utasításait kell követni.</t>
  </si>
  <si>
    <t xml:space="preserve">Tárgyaljunk, de ne harcoljunk. Irtózik az ártó varázslatok használatától, a verekedéstől, és mindentől, ami a másnak sebesülést okozhat, neki pedig az ezzel járó kényelmetlenségeket. Erőszakmentes világban él - vagy legalábbis szeretne. </t>
  </si>
  <si>
    <t>Színészet</t>
  </si>
  <si>
    <t>Szónoklás</t>
  </si>
  <si>
    <t>Manadinamika</t>
  </si>
  <si>
    <t>Emelés</t>
  </si>
  <si>
    <t>Kitérés</t>
  </si>
  <si>
    <t>Lőfegyveres harc -</t>
  </si>
  <si>
    <t>Karakter életkora</t>
  </si>
  <si>
    <t>Pontok</t>
  </si>
  <si>
    <t>10 év</t>
  </si>
  <si>
    <t>11 év</t>
  </si>
  <si>
    <t>12 év</t>
  </si>
  <si>
    <t>13 év</t>
  </si>
  <si>
    <t>14 év</t>
  </si>
  <si>
    <t>15 év</t>
  </si>
  <si>
    <t>16 év</t>
  </si>
  <si>
    <t>17 év</t>
  </si>
  <si>
    <t>Pusztakezes harc -</t>
  </si>
  <si>
    <t>Álcázás</t>
  </si>
  <si>
    <t>Csalás</t>
  </si>
  <si>
    <t>Éberség</t>
  </si>
  <si>
    <t>Fürkészés</t>
  </si>
  <si>
    <t>Idomítás</t>
  </si>
  <si>
    <t>Kihallgatás</t>
  </si>
  <si>
    <t>Lopakodás</t>
  </si>
  <si>
    <t>Méregellenállás</t>
  </si>
  <si>
    <t>Megfélemlítés</t>
  </si>
  <si>
    <t>Képzettség</t>
  </si>
  <si>
    <t>Szorzó</t>
  </si>
  <si>
    <t>Meggyőzés</t>
  </si>
  <si>
    <t>Általános</t>
  </si>
  <si>
    <t>Orvoslás</t>
  </si>
  <si>
    <t>Művészeti E</t>
  </si>
  <si>
    <t>Genotípus:</t>
  </si>
  <si>
    <t>Foglalat</t>
  </si>
  <si>
    <t>Minden harchelyzetben minden tulajdonsághoz (kivéve intelligencia) +2 adódik.</t>
  </si>
  <si>
    <t xml:space="preserve">Már az óvodában is folyton sarokba állították verekedésért. Ebből a rossz szokásból képes volt előnyt kovácsolni azzal, hogy megtanulta fegyelmezni magát. </t>
  </si>
  <si>
    <t>Minden harci képzettséget egy szorzóval kevesebbért fejleszt.</t>
  </si>
  <si>
    <t>A harci helyzeteket neki találták ki: nagyobbat üt, jobban lő és fürgébben tér ki, mint mások.</t>
  </si>
  <si>
    <t xml:space="preserve">Sokkalta könnyebb úgy vadászni, ha valaki nem csak szagolja a prédát. </t>
  </si>
  <si>
    <t>Hőképet is képes érzékelni. Nem csak átváltozott, emberi alakban is működik.</t>
  </si>
  <si>
    <t xml:space="preserve">Egy riasztó helyzetben, vagy csak általában az életben sokkal könnyebben kereket old, ebben a mágia kifejezetten a kezére játszik. </t>
  </si>
  <si>
    <t>Állatalakban a hátrány értékének megfelelően kevesebbet kap a fizikumhoz.</t>
  </si>
  <si>
    <t>Kellemetlen dolog, de ha varázsol, akkor mindenféle fura jelenséget tapasztalhat. Buborékok szállnak ki a pálcából, fülsiketítő zaj hallható, vagy éppen villanás látható, esetleg bűz terjeng… sőt, lehet furább is.</t>
  </si>
  <si>
    <t xml:space="preserve"> A jelenség minden mágiahasználatkor aktiválódik. Ez elsősorban a karakterre van hatással. 1 pontért még csak egy kis szikrázás, 4-ért ez azonban már háztömbnyi illúzió-tűz is lehet.</t>
  </si>
  <si>
    <t>Halála pillanatában komoly sérülései voltak, melyek mindennapos begyógyítást igényelnek különben ottmaradnak arra az estére.</t>
  </si>
  <si>
    <t>Érték*5 ÉP vesztéssel ébred a karakter.</t>
  </si>
  <si>
    <t xml:space="preserve">Mikor átváltozik, nem képes uralkodni magán, és ami rosszabb, hogy még csak nem is fog rá emlékezni, hogy mit tett, míg állatalakban volt. </t>
  </si>
  <si>
    <t>Szétszórt</t>
  </si>
  <si>
    <t>Nem használhat azonos képzettségeket egymás után, ha mégis, a második próbájának értékét a felére kell csökkenteni. 2 pontért mágikus VAGY nem mágikus próba esetén, 4 pontért viszont mindkettőre érvényes.</t>
  </si>
  <si>
    <t>Szétszórt - 2</t>
  </si>
  <si>
    <t>Szétszórt - 4</t>
  </si>
  <si>
    <t>A karakter szintnek megfelelő tulajdonságának maximuma nem 18, hanem 20 (Intelligencia kivételével). Vámpírrá és likantróppá váláskor lecserélhető, szerviens csak akkor, ha a mágia tulajdonság volt kiválasztva.</t>
  </si>
  <si>
    <t>Varázstalan-tul</t>
  </si>
  <si>
    <t>Természettudományok</t>
  </si>
  <si>
    <t>Matematika és számítástudományok</t>
  </si>
  <si>
    <t>Fizikai tudományok</t>
  </si>
  <si>
    <t>Kémiai tudományok</t>
  </si>
  <si>
    <t>Földtudományok</t>
  </si>
  <si>
    <t>Biológiai tudományok</t>
  </si>
  <si>
    <t>Környezettudományok</t>
  </si>
  <si>
    <t>Multidiszciplináris természettudományok</t>
  </si>
  <si>
    <t>Műszaki tudományok</t>
  </si>
  <si>
    <t>Építőmérnöki tudományok</t>
  </si>
  <si>
    <t>Villamosmérnöki tudományok</t>
  </si>
  <si>
    <t>Építészmérnöki tudományok</t>
  </si>
  <si>
    <t>Anyagtudományok és technológiák</t>
  </si>
  <si>
    <t>Gépészeti tudományok</t>
  </si>
  <si>
    <t>Közlekedéstudományok</t>
  </si>
  <si>
    <t>Vegyészmérnöki tudományok</t>
  </si>
  <si>
    <t>Informatikai tudományok</t>
  </si>
  <si>
    <t>Agrár műszaki tudományok</t>
  </si>
  <si>
    <t>Látótávolságon belül a fókuszeszköz hívásra a kézbe repül (kivéve, ha más tartja)</t>
  </si>
  <si>
    <t>Egy általad végrehajtható varázslatot a fókuszba tölthetsz, amit próba nélkül bármikor elvarázsolhatsz</t>
  </si>
  <si>
    <t>mezőgazdasági jármű</t>
  </si>
  <si>
    <t>motorkerékpár</t>
  </si>
  <si>
    <t>mozdony</t>
  </si>
  <si>
    <t>motorvonat</t>
  </si>
  <si>
    <t>villamos</t>
  </si>
  <si>
    <t>H</t>
  </si>
  <si>
    <t>Általános műveltség</t>
  </si>
  <si>
    <t>Kép</t>
  </si>
  <si>
    <t>Felszerelés, vagyon</t>
  </si>
  <si>
    <t>Előtörténet, leírás</t>
  </si>
  <si>
    <t>Végzettség, kapcsolatok</t>
  </si>
  <si>
    <t>A tulajdonság pontoknál az első oszlopban a zárójeles értéket kell figyelni (felnőtt karakternél ez már +7 pontot jelent - tehát az alapból elosztható pontok száma nem 70, hanem 77. Varázstalan személynél ez 66, és 12 évesen kezdődik a szétosztása). Két tulajdonság minimum értéke 13, egy tulajdonság minimum értéke 15 kell legyen.</t>
  </si>
  <si>
    <t>Pontosan tudja, hogy tevékenységei mennyi időt vettek igénybe, hogy mennyi idő telt el azóta, hogy utoljára megnézte az órát. Ha valami machinálás történik az idővel, azt is megérzi. Ennél praktikusabb azonban a napkelte és a holdállás megérzése.</t>
  </si>
  <si>
    <t>Irányérzék</t>
  </si>
  <si>
    <t>Talan</t>
  </si>
  <si>
    <t>Mágus</t>
  </si>
  <si>
    <t>Likantróp</t>
  </si>
  <si>
    <t>Vámpír</t>
  </si>
  <si>
    <t>Szerviens</t>
  </si>
  <si>
    <t>Vakmerő</t>
  </si>
  <si>
    <t>Leírás</t>
  </si>
  <si>
    <t>Színesítő</t>
  </si>
  <si>
    <t>Nem vehető fel</t>
  </si>
  <si>
    <t>Józan ész</t>
  </si>
  <si>
    <t>x</t>
  </si>
  <si>
    <t>Koncepcionális</t>
  </si>
  <si>
    <t>Makacs</t>
  </si>
  <si>
    <t>A Mesélő nem segíthet neki (sem tanácsokkal, sem ötletpróbával).</t>
  </si>
  <si>
    <t>Pókerarc</t>
  </si>
  <si>
    <t>Megfontolt</t>
  </si>
  <si>
    <t>Kamikaze</t>
  </si>
  <si>
    <t>Harmadik genotípus</t>
  </si>
  <si>
    <t>Magányos farkas</t>
  </si>
  <si>
    <t>A jövő hiánya II</t>
  </si>
  <si>
    <t>A mágia néhány területén semmi keresnivalója nincs, bármennyit gyakorol, bármennyit szenved, ez nem az ő asztala.</t>
  </si>
  <si>
    <t>Harci helyzetben akár több körön keresztül is lehet passzolni, és aztán egyszerre lehet felhasználni a kihagyott köröket.</t>
  </si>
  <si>
    <t>Épp, mint a többiek</t>
  </si>
  <si>
    <t>m</t>
  </si>
  <si>
    <t>Megörökíthetetlen</t>
  </si>
  <si>
    <t>Új/Módosított/Visszahozott</t>
  </si>
  <si>
    <t>Nehézkes segítő</t>
  </si>
  <si>
    <t>Bájitalok</t>
  </si>
  <si>
    <t>Aragonit</t>
  </si>
  <si>
    <t xml:space="preserve">Mikor átváltozik, nem a standard félig emberi, félig állati külsőt ölti fel, hanem egy igazi állatét. </t>
  </si>
  <si>
    <t>A türelem rózsát terem.</t>
  </si>
  <si>
    <t>Helyzetfelmérés</t>
  </si>
  <si>
    <t>egyéb</t>
  </si>
  <si>
    <t>kocka</t>
  </si>
  <si>
    <t>aktív:</t>
  </si>
  <si>
    <t>Életerőpont</t>
  </si>
  <si>
    <t>Az emberi határokon túl</t>
  </si>
  <si>
    <t>Domináns</t>
  </si>
  <si>
    <t>Éber</t>
  </si>
  <si>
    <t>Empátia</t>
  </si>
  <si>
    <t>Érzéketlen</t>
  </si>
  <si>
    <t>Érzelmek kiszagolása</t>
  </si>
  <si>
    <t>Gének ereje</t>
  </si>
  <si>
    <t>Olyat tett, amit nem tolerálnak a fajtársai, vagy egyszerűen nem akar része lenni a likantróp közösségeknek. Nem tagja a Falkának, és ha a falka tagjai tudják, hogy likantróp és mégsem tartozik közéjük, bizalmatlanul fordulnak felé, nem eresztik be a falka központjába, nem közölnek vele esetleg lényeges híreket.</t>
  </si>
  <si>
    <t>Aurában +2 reflex</t>
  </si>
  <si>
    <t>Aurában Megnyerő előnyt ad</t>
  </si>
  <si>
    <t>Aurán belül óránként 1 ÉP-t gyógyít</t>
  </si>
  <si>
    <t>Aurában Abeomágiához +2 járul</t>
  </si>
  <si>
    <t>Aurában az Idézésekhez +2 járul</t>
  </si>
  <si>
    <t>Amnézia - 1</t>
  </si>
  <si>
    <t>Audiovizuális hiba - 1</t>
  </si>
  <si>
    <t>Beazonosítható - 1</t>
  </si>
  <si>
    <t>Berzerker - 1</t>
  </si>
  <si>
    <t>Beteges mánia - 1</t>
  </si>
  <si>
    <t>Dekoncentrált - 1</t>
  </si>
  <si>
    <t>Beteges motiváció - 1</t>
  </si>
  <si>
    <t>Elkötelezett - 1</t>
  </si>
  <si>
    <t>Érzéketlen - 1</t>
  </si>
  <si>
    <t>Fáradékony - 1</t>
  </si>
  <si>
    <t>Feledékeny - 1</t>
  </si>
  <si>
    <t>Fizikai betegség - 1</t>
  </si>
  <si>
    <t>Fóbia - 1</t>
  </si>
  <si>
    <t>Fogyatékos - 1</t>
  </si>
  <si>
    <t>Fókuszfüggő - 1</t>
  </si>
  <si>
    <t>Gyáva - 1</t>
  </si>
  <si>
    <t>Gének gyengesége - 1</t>
  </si>
  <si>
    <t>Gyenge találat - 1</t>
  </si>
  <si>
    <t>Hagyománytisztelő - 1</t>
  </si>
  <si>
    <t>Haragos - 1</t>
  </si>
  <si>
    <t>Hátráltató körülmények - 1</t>
  </si>
  <si>
    <t>Hátulütő - 1</t>
  </si>
  <si>
    <t>Helyzetfüggő - 1</t>
  </si>
  <si>
    <t>Hendikep - 1</t>
  </si>
  <si>
    <t>Hírhedt - 1</t>
  </si>
  <si>
    <t>Hordozó - 1</t>
  </si>
  <si>
    <t>Ínyenc - 1</t>
  </si>
  <si>
    <t>Kényszerbetegség - 1</t>
  </si>
  <si>
    <t>Kicsi - 1</t>
  </si>
  <si>
    <t>Kísérőjelenségek - 1</t>
  </si>
  <si>
    <t>Kontrollálatlan - 1</t>
  </si>
  <si>
    <t>Kötött formulák - 1</t>
  </si>
  <si>
    <t>Labilis - 1</t>
  </si>
  <si>
    <t>Lassú mozgás - 1</t>
  </si>
  <si>
    <t>Lassú reflexek - 1</t>
  </si>
  <si>
    <t>Magányos farkas - 1</t>
  </si>
  <si>
    <t>Mágiaérzékenység - 1</t>
  </si>
  <si>
    <t>Maximalista - 1</t>
  </si>
  <si>
    <t>Mentális betegség - 1</t>
  </si>
  <si>
    <t>Méregérzékeny - 1</t>
  </si>
  <si>
    <t>Nehéz helyzet - 1</t>
  </si>
  <si>
    <t>Nehéz tanulás - 1</t>
  </si>
  <si>
    <t>Önbizalomhiány - 1</t>
  </si>
  <si>
    <t>Piperkőc - 1</t>
  </si>
  <si>
    <t>Priusz - 1</t>
  </si>
  <si>
    <t>Sebesült - 1</t>
  </si>
  <si>
    <t>Szegény - 1</t>
  </si>
  <si>
    <t>Szubmisszív - 1</t>
  </si>
  <si>
    <t>Született bestia - 1</t>
  </si>
  <si>
    <t>Taszító - 1</t>
  </si>
  <si>
    <t>Territórium - 1</t>
  </si>
  <si>
    <t>Válogatós vadász - 1</t>
  </si>
  <si>
    <t>Vendigó - 1</t>
  </si>
  <si>
    <t>Éjlény</t>
  </si>
  <si>
    <t>össz</t>
  </si>
  <si>
    <t>A Jövő hiánya I - 1</t>
  </si>
  <si>
    <t>A jövő hiánya II - 1</t>
  </si>
  <si>
    <t xml:space="preserve">Amikor mások kidőlnek, ő akkor is folytatja a harcot, vagy a munkát. Különösen jól bírja a gyűrődést. </t>
  </si>
  <si>
    <t>Minden egyes felvett előnypontért +5 Fizikai fáradáspont jár.</t>
  </si>
  <si>
    <t>A Jövő hiánya I - 3</t>
  </si>
  <si>
    <t>A jövő hiánya II - 3</t>
  </si>
  <si>
    <t>Addikció - 3</t>
  </si>
  <si>
    <t>Agresszió - 3</t>
  </si>
  <si>
    <t>Alacsony ingerküszöb - 3</t>
  </si>
  <si>
    <t>Alárendelt - 3</t>
  </si>
  <si>
    <t>Allergia - 3</t>
  </si>
  <si>
    <t>Aluszékony - 3</t>
  </si>
  <si>
    <t>Amnézia - 3</t>
  </si>
  <si>
    <t>Audiovizuális hiba - 3</t>
  </si>
  <si>
    <t>Beazonosítható - 3</t>
  </si>
  <si>
    <t>Berzerker - 3</t>
  </si>
  <si>
    <t>Beteges mánia - 3</t>
  </si>
  <si>
    <t xml:space="preserve">Amikor mások kidőlnek, ő akkor is folytatja a harcot, vagy a munkát. </t>
  </si>
  <si>
    <t>Különösen jól bírja a gyűrődést. Minden egyes felvett előnypontért +5 Mentális fáradáspont jár.</t>
  </si>
  <si>
    <t>Láttad egyszer? Menni fog! Főleg, mivel karakterednek valahogy minden gyorsabban megy.</t>
  </si>
  <si>
    <t>Értékenként 5%-al több tapasztalati pontot kap.</t>
  </si>
  <si>
    <t>Amikor kell, akkor remekül tudja koncentrálni az erőit, gyorsan és pontosan talál célba.</t>
  </si>
  <si>
    <t>Minden fizikai sebzéshez a felvett pontnak megfelelő érték adódik. A fizikai sebzések érték*20%-al többet sebeznek a célponton.</t>
  </si>
  <si>
    <t>Jöhet bármi, földrengés, tűzgolyó, vagy ütések százai, míg mások már ordítanak fájdalmukban, ő keményen állja.</t>
  </si>
  <si>
    <t>Minden fizikai sebzés érték*20%-al kisebb számára.</t>
  </si>
  <si>
    <t>Pontosan tudja, hogy akadnak olyan varázslatok, amik megsebzik az embert. Az ő szervezete azonban könnyebben veszi fel ezekkel a versenyt.</t>
  </si>
  <si>
    <t>Minden mágikus sebzés érték*20%-al kisebb számára.</t>
  </si>
  <si>
    <t xml:space="preserve">Van egy hely, ahol minden szebb. Gyorsabban a regenerálódás, kellemesebb a pihenés. </t>
  </si>
  <si>
    <t xml:space="preserve">Van egy életcél, egy csodálatos motiváció, mely eszmék és képzetek köré csoportosul. </t>
  </si>
  <si>
    <t>Amennyiben a karakter ezekért a célokért törekszik, a próbák célszáma szinttől függően könnyebb lesz. 1:1, 2:3, 3:6, 4:12 ponttal.</t>
  </si>
  <si>
    <t>Talán már kiskorában jól állt a kezében a ceruza, a véső, az ecset, de lehet, hogy színpadra termett.</t>
  </si>
  <si>
    <t>A karakter többé nem képes varázsolni, és le kell cserélnie azokat az előnyöket és hátrányokat amiket csak mágusként vehetne fel. A hátrány felvételének előfeltétele az 5-ös mágia. A mágia 8 feletti részét szétoszthatja.</t>
  </si>
  <si>
    <t>Farkasvakság</t>
  </si>
  <si>
    <t>Játszódik</t>
  </si>
  <si>
    <t>Feleződik a likantrópia fertőzésének veszélye. Egy pontért választani kell, hogy állat- vagy emberalakban, két pontért minden alakban.</t>
  </si>
  <si>
    <t>Fel lehet venni a bajtárssal, ekkor segítségnyújtásnál mindkét előny egyszerre teljesül</t>
  </si>
  <si>
    <t>Beteges mánia</t>
  </si>
  <si>
    <t>Hordozófüggő</t>
  </si>
  <si>
    <t>Kötött formulák, Hordozófüggő</t>
  </si>
  <si>
    <t>Könyvtárhasználat</t>
  </si>
  <si>
    <t>A nemző öröksége - 1</t>
  </si>
  <si>
    <t>A tömeg arca - 1</t>
  </si>
  <si>
    <t>A vér szaga - 1</t>
  </si>
  <si>
    <t>Vitalitás - 1</t>
  </si>
  <si>
    <t>Veszett tehetség - 1</t>
  </si>
  <si>
    <t>Tekintély - 1</t>
  </si>
  <si>
    <t>Stabil - 1</t>
  </si>
  <si>
    <t>Segítőtárs - 1</t>
  </si>
  <si>
    <t>Segítő körülmények - 1</t>
  </si>
  <si>
    <t>Pókerarc - 1</t>
  </si>
  <si>
    <t>Pihentető alvás - 1</t>
  </si>
  <si>
    <t>Nyáj - 1</t>
  </si>
  <si>
    <t>Nagy - 1</t>
  </si>
  <si>
    <t>Motiváció - 1</t>
  </si>
  <si>
    <t>Méregellenálló - 1</t>
  </si>
  <si>
    <t>Menedék - 1</t>
  </si>
  <si>
    <t>Mágiaimmunitás - 1</t>
  </si>
  <si>
    <t>Magas ingerküszöb - 1</t>
  </si>
  <si>
    <t>Magas fájdalomküszöb  - 1</t>
  </si>
  <si>
    <t>Kritikus találat - 1</t>
  </si>
  <si>
    <t>Könnyű tanulás - 1</t>
  </si>
  <si>
    <t>Kitartó - 1</t>
  </si>
  <si>
    <t>Kapcsolatok - 1</t>
  </si>
  <si>
    <t>Jóakaró - 1</t>
  </si>
  <si>
    <t>Igaz hit - 1</t>
  </si>
  <si>
    <t>Híres - 1</t>
  </si>
  <si>
    <t>Hazai pálya - 1</t>
  </si>
  <si>
    <t>Gyors reflexek - 1</t>
  </si>
  <si>
    <t>Gyors mozgás - 1</t>
  </si>
  <si>
    <t>Gének ereje - 1</t>
  </si>
  <si>
    <t>Fotomemória - 1</t>
  </si>
  <si>
    <t>Fogékony - 1</t>
  </si>
  <si>
    <t>Fáradhatatlan - 1</t>
  </si>
  <si>
    <t>Érzelmek kiszagolása - 1</t>
  </si>
  <si>
    <t>Empátia - 1</t>
  </si>
  <si>
    <t>Emberiség - 1</t>
  </si>
  <si>
    <t>Előny - 1</t>
  </si>
  <si>
    <t>Egyszerű helyzet - 1</t>
  </si>
  <si>
    <t>Éber - 1</t>
  </si>
  <si>
    <t>Domináns - 1</t>
  </si>
  <si>
    <t>Csalogató - 1</t>
  </si>
  <si>
    <t>Bátor - 1</t>
  </si>
  <si>
    <t>Bajtárs - 1</t>
  </si>
  <si>
    <t>Az emberi határokon túl - 1</t>
  </si>
  <si>
    <t>Anyagi háttér - 1</t>
  </si>
  <si>
    <t>A vér szaga - 2</t>
  </si>
  <si>
    <t>A jövő ígérete II - 2</t>
  </si>
  <si>
    <t>A nemző öröksége - 2</t>
  </si>
  <si>
    <t>A tömeg arca - 2</t>
  </si>
  <si>
    <t>Anyagi háttér - 2</t>
  </si>
  <si>
    <t>Az emberi határokon túl - 2</t>
  </si>
  <si>
    <t>Bajtárs - 2</t>
  </si>
  <si>
    <t>Bátor - 2</t>
  </si>
  <si>
    <t>Csalogató - 2</t>
  </si>
  <si>
    <t xml:space="preserve">Minden hátrányszintre igaz az előtte lévő szint hátrányai is. 1: Nincs bejárása a falka központjába, nem élvezi a falka támogatását (információáramlás, érdekvédelem, bájitalos juttatások a falkán keresztül, stb) 2: Minden szociális próba egy szinttel nehezebb Falkatagok ellen. 3: Átváltozott alakban maximum két likantróp marad meg mellette, a többi elemien ellenséges, agresszív vagy elkerülő. 4: Átváltozott alakban semmilyen likantróp sem marad meg mellette, elemien ellenségesek, agresszívek vagy elkerülők. </t>
  </si>
  <si>
    <t>Senki sem inna szívesen mérget - de lehet, hogy rá már a közönséges feketekávé is rossz hatással van, hogy az alkoholról vagy az erősebb gyógyszerekről, bájitalokról már ne is beszéljünk.</t>
  </si>
  <si>
    <t>Nem, és nem, és csak azért sem! Én akkor is beleugrom a kútba!</t>
  </si>
  <si>
    <t>A mágusok sem egyformán értenek a varázslás mesterségéhez.</t>
  </si>
  <si>
    <t>Minden életerővesztéskor (legalább) a hátrány pontértékének megfelelő szinttel nehezített vadmágiapróbát (szint célszáma + Mágia - Akaraterő) kell dobni (Önuralom képzettséggel, születetteknek Tradícióval, likantrópoknak Likantrópiával). Sikertelenség esetén a karakter akkora értékű vadmágiát hajt végre, amennyi hiányzott volna a sikerhez (balsiker esetén pedig a próba értéke 0).</t>
  </si>
  <si>
    <t>Grrrrrrrr…</t>
  </si>
  <si>
    <t>Foglalat anyaga</t>
  </si>
  <si>
    <t>mod</t>
  </si>
  <si>
    <t>akt</t>
  </si>
  <si>
    <t>ÉP</t>
  </si>
  <si>
    <t>FFP</t>
  </si>
  <si>
    <t>MFP</t>
  </si>
  <si>
    <t>Előnyök</t>
  </si>
  <si>
    <t>TP</t>
  </si>
  <si>
    <t xml:space="preserve">Mindenkinek van olyan ismerőse, aki már reggel nyolckor kipattan az ágyból, még ha bőven hajnali négy után is ért haza. </t>
  </si>
  <si>
    <t xml:space="preserve">Van valami a bundában, ami emberként is egyedi és összetéveszthetetlen. </t>
  </si>
  <si>
    <t>"Ó, én igazán csak segíteni akarok, nem tehetek róla, hogy közben eltört az az izé."</t>
  </si>
  <si>
    <t>Átváltozása előtt és után 3 nappal iszonyatos csont és izületi fájdalmak gyötrik. Ebben az időszakban minden próba egy szinttel nehezebb.</t>
  </si>
  <si>
    <t>Még egy likantróp is érezheti úgy, hogy a halál is jobb lenne a fájdalomnál.</t>
  </si>
  <si>
    <t>Az, hogy valaki mindenben egyforma jó, sokszor azt jelenti, hogy mindenben egyforma rossz.</t>
  </si>
  <si>
    <t xml:space="preserve">Számon tartják, így jobb, ha vigyáz. Van valaki, aki utálja, és jó helyen dolgozik vagy éppen megfelelő helyen van ismertsége, ezért valamiféle priusza van, s ennek komolysága a hátrány értékétől függ. Ez lehet például hivatali, rendőri, esetleg alvilági. </t>
  </si>
  <si>
    <t>Aurában 2-es Empátia előnyt ad</t>
  </si>
  <si>
    <t>Önuralom</t>
  </si>
  <si>
    <t>Művészeti K</t>
  </si>
  <si>
    <t>Tolvajlás</t>
  </si>
  <si>
    <t>Harci</t>
  </si>
  <si>
    <t>Tűz</t>
  </si>
  <si>
    <t>Vallatás</t>
  </si>
  <si>
    <t>Gyakorlati</t>
  </si>
  <si>
    <t>Víz</t>
  </si>
  <si>
    <t>Bölcsésztudományok -</t>
  </si>
  <si>
    <t>Tudományos</t>
  </si>
  <si>
    <t>Föld</t>
  </si>
  <si>
    <t>Diplomácia</t>
  </si>
  <si>
    <t>Nyelv</t>
  </si>
  <si>
    <t>Levegő</t>
  </si>
  <si>
    <t>Speciális</t>
  </si>
  <si>
    <t>Élet</t>
  </si>
  <si>
    <t>Stratégia</t>
  </si>
  <si>
    <t>Vannak olyan mágikus dolgok, amikhez jobban ért, tehetségesebb bennük.</t>
  </si>
  <si>
    <t>Vannak olyan vámpírok, akik a saját erejükön felül egy időre képesek a nemzőjük erejét is magukba idézni.</t>
  </si>
  <si>
    <t xml:space="preserve">A tömeg nem csak csőcselék lehet, hanem oltalmazó emberek sora is. Hiszen annyi más van, akivel baj történhet, míg mi békésen elsomfordálunk! </t>
  </si>
  <si>
    <t xml:space="preserve">Vannak, akik jobbak a többinél, és eme leírás a karakterre tökéletesen igaz. Lehet, hogy a kiválónál is kiválóbb mágus, esetleg úgy mozog, akár a párduc. </t>
  </si>
  <si>
    <t xml:space="preserve">Mások komolyan megharcolnak érte, neki ez sokkal egyszerűbb. Könnyebben veszi rá az áldozatait, hogy jöjjenek közelebb... még közelebb.... </t>
  </si>
  <si>
    <t>Könnyebben talál rá a neki tetsző áldozatra. Találkozáspróba esetén szintnek megfelelő kockával dobhatsz pluszban.</t>
  </si>
  <si>
    <t>Az éjlények között is kiemelt szereppel bír a karakter, hiszen többen hallgatnak rá, mint azt gondolná.</t>
  </si>
  <si>
    <t>A nappal csak azért okoz problémát, mert nem tanácsos kimenni akkor az utcára egy vámpírnak. Napi pár óra alvás elegendő a számára ugyanis, ezen kívül felkelthető a karakter, sőt, magától is felkel és normális cselekvésre is képes.</t>
  </si>
  <si>
    <t>Szükséges pihenési idő szintenként: 1: 8, 2: 6, 3: 4, 4: 2  óra.</t>
  </si>
  <si>
    <t>Vannak olyan helyzetek, amikor neki valahogy minden könnyebben megy. Talán ha sötét van, ha süt a nap, vagy fúj a szél, esetleg sárga ruhát visel.</t>
  </si>
  <si>
    <t>Az aurádban lévők +1 pontot kapnak minden varázslathoz</t>
  </si>
  <si>
    <t>Műanyag</t>
  </si>
  <si>
    <t>Tulajdonos auráján kívül -1 a próbák alapkockájának értékéből</t>
  </si>
  <si>
    <t>Csont</t>
  </si>
  <si>
    <t>Aurában 10-es halál észlelése</t>
  </si>
  <si>
    <t>Bázis anyaga</t>
  </si>
  <si>
    <t>Akác</t>
  </si>
  <si>
    <t>Berkenye</t>
  </si>
  <si>
    <t>Bükk</t>
  </si>
  <si>
    <t>Ciprus</t>
  </si>
  <si>
    <t>Cser</t>
  </si>
  <si>
    <t>Dió</t>
  </si>
  <si>
    <t>Ében</t>
  </si>
  <si>
    <t>Éger</t>
  </si>
  <si>
    <t>Eper</t>
  </si>
  <si>
    <t>Fenyő</t>
  </si>
  <si>
    <t>Fűz</t>
  </si>
  <si>
    <t>Galagonya</t>
  </si>
  <si>
    <t>Gesztenye</t>
  </si>
  <si>
    <t>Gyertyán</t>
  </si>
  <si>
    <t>Hárs</t>
  </si>
  <si>
    <t>Jegenye</t>
  </si>
  <si>
    <t>Juhar</t>
  </si>
  <si>
    <t>Kökény</t>
  </si>
  <si>
    <t>Kőris</t>
  </si>
  <si>
    <t>Magyal</t>
  </si>
  <si>
    <t>Mahagóni</t>
  </si>
  <si>
    <t>Mogyoró</t>
  </si>
  <si>
    <t>Nyár</t>
  </si>
  <si>
    <t>Nyír</t>
  </si>
  <si>
    <t>Orgona</t>
  </si>
  <si>
    <t>Ostorfa</t>
  </si>
  <si>
    <t>Platán</t>
  </si>
  <si>
    <t>Puszpáng</t>
  </si>
  <si>
    <t>Rózsafa</t>
  </si>
  <si>
    <t>Som</t>
  </si>
  <si>
    <t>Szil</t>
  </si>
  <si>
    <t>Tiszafa</t>
  </si>
  <si>
    <t>Tölgy</t>
  </si>
  <si>
    <t>Körülötte valahogy más a levegő, meg úgy egyébként is, csak rá kell nézni.</t>
  </si>
  <si>
    <t>Előny/Hátrány</t>
  </si>
  <si>
    <t>Kiegészítés</t>
  </si>
  <si>
    <t>Szétosztható pontok</t>
  </si>
  <si>
    <t>Származtatott pontok</t>
  </si>
  <si>
    <t>Képzettségek</t>
  </si>
  <si>
    <t>Achát</t>
  </si>
  <si>
    <t>Apatit</t>
  </si>
  <si>
    <t>Aventurin</t>
  </si>
  <si>
    <t>Azurit</t>
  </si>
  <si>
    <t>Borostyán</t>
  </si>
  <si>
    <t>Fakvarc</t>
  </si>
  <si>
    <t>Aurában +2 kezdeményezés</t>
  </si>
  <si>
    <t>Fluorit</t>
  </si>
  <si>
    <t>Hegyikristály</t>
  </si>
  <si>
    <t>Jáspis</t>
  </si>
  <si>
    <t>Kén</t>
  </si>
  <si>
    <t>5-ös célszámú tűz teremtése mágia nélküli területen is</t>
  </si>
  <si>
    <t>Vadmágiakor csakis az egyik Genotípus érvényesül, amennyiben ezek nem egyeznek.</t>
  </si>
  <si>
    <t>Túlfejlett</t>
  </si>
  <si>
    <t>Testfókusz</t>
  </si>
  <si>
    <t>Félénk</t>
  </si>
  <si>
    <t>Rendíthetetlen</t>
  </si>
  <si>
    <t>Lassú gyógyulás</t>
  </si>
  <si>
    <t>Gyors gyógyulás</t>
  </si>
  <si>
    <t>Vérszegény</t>
  </si>
  <si>
    <t>Baljós kisugárzás</t>
  </si>
  <si>
    <t>Duplázódik a likantrópia fertőzésének veszélye (minden alakban). Ráadásul emberi alakjában is fertőz.</t>
  </si>
  <si>
    <t>Steril</t>
  </si>
  <si>
    <t>Gondatlan varázsló</t>
  </si>
  <si>
    <t>Gondos varázsló, Szerencsés, Üres lap, Szerencsétlen.</t>
  </si>
  <si>
    <t>Gyenge pont</t>
  </si>
  <si>
    <t>Játékos</t>
  </si>
  <si>
    <t>Nyelvérzék hiánya</t>
  </si>
  <si>
    <t>Nyelvérzék</t>
  </si>
  <si>
    <t>Röghöz kötött</t>
  </si>
  <si>
    <t>Illékony</t>
  </si>
  <si>
    <t>Vadász</t>
  </si>
  <si>
    <t>Veszett agresszió</t>
  </si>
  <si>
    <t>Ha rákoppintanak, azonnal visszavonul, behúzódik egy védett helyre, és legalább 10 percig ottmarad. Egy állatnál ez még rendben is volna… de nála ez ember alakban is él.</t>
  </si>
  <si>
    <t xml:space="preserve">A repkedő pillangók, a mozgó dolgok könnyen elvonják a figyelmedet. </t>
  </si>
  <si>
    <t>A nyelvek fejlesztése egy szinttel nehezebb.</t>
  </si>
  <si>
    <t xml:space="preserve">Távoljárás - milyen egyszerűen hangzik. Igen, de nem neki. </t>
  </si>
  <si>
    <t>Nem képes a helyváltoztatásra, ha mágiával kell megoldani, sőt, igazságszerint semmiféle térmágiával nem boldogul, ahogy alkotni sem képes térmágia elvén alapuló eszközöket. Ami érdekes, hogy másoknak tud segíteni ennek végrehajtásában, és mások által készített, már aktív eszközöket is igénybevehet. Nem vehető fel a távoljárásra a jövő hiánya II hátrány.</t>
  </si>
  <si>
    <t>Sütve szinte képtelen megenni a húst, és a zöldségektől is borsódzik a háta. Kifejezetten nyersen szereti elfogyasztani a vacsorát, még jobb, ha még mozog. Emberi alakban is érvényesül.</t>
  </si>
  <si>
    <t>A karakter veszettül húsevő.</t>
  </si>
  <si>
    <t xml:space="preserve">Nem egy energikus alkat: míg a többiek pörögnek, ő csak ül, és néz maga elé. </t>
  </si>
  <si>
    <t xml:space="preserve">A legtöbben képesek két telihold között is felvenni az állati alakjukat - ő azonban képtelen rá. </t>
  </si>
  <si>
    <t xml:space="preserve">A gyakorlatban sokkal eredményesebb, könnyedén megy, csak ne kelljen elmélettel bajlódni. </t>
  </si>
  <si>
    <t>Tudományos szakértelmek fejlesztése egy szorzóval nehezebben történik (kivéve a Nyelveket).</t>
  </si>
  <si>
    <t xml:space="preserve">A korosztálya mögött jár pár évvel. Ők már a lányokról beszélnek, míg a karaktered még kisautókat tologat. </t>
  </si>
  <si>
    <t>Két évvel későbbre csúsztatva kell használod a Tulajdonságpont táblázatot. Húsz éves korban azonban megszűnik, előnyök lehúzása vagy további koncepcionális hátrányok felvétele lehetséges a fennmaradó pontokból.</t>
  </si>
  <si>
    <t>Amennyiben nem teljesül a feltétel, feleződik a kinyerhető fáradáspont. A hátrány mértéke annál nagyobb, minél ritkább az általa választott helyzet.</t>
  </si>
  <si>
    <t>Helyzettől és szinttől függő Önuralompróbát igényel a koncentráció.</t>
  </si>
  <si>
    <t xml:space="preserve">Átváltozott alakja kistermetű állat (nem nagyobb egy Bernáthegyinél). </t>
  </si>
  <si>
    <t>A karakterlapon +1 előnyhelyet használhat.</t>
  </si>
  <si>
    <t>Változhat a kor előrehaladtával, ezt a koncepcionális pontoknál kell kiegyenlíteni.</t>
  </si>
  <si>
    <t>Kóma</t>
  </si>
  <si>
    <t>A karakter minden telehold utáni nappalt kómában tölt.</t>
  </si>
  <si>
    <t xml:space="preserve">Kisebb az esélye annak, hogyha végül mégis elveszti maga felett a kontrollt, magával ránt másokat, hiszen a harapása, karmolása sokkal kevésbé fertőző. </t>
  </si>
  <si>
    <t>Nyáj</t>
  </si>
  <si>
    <t>Nem kell minden nap portyázni, ha vannak olyanok, akik önként adják vérüket.</t>
  </si>
  <si>
    <t>Az NJK-kat lehet, de nem muszáj nevesíteni, mindig maxra képesek tölteni a vámpír/szerviens FFP-it.</t>
  </si>
  <si>
    <t>Érték</t>
  </si>
  <si>
    <t>Mindenki, akinek segít, érték*2 pontot kap a képzettségpróbájához.</t>
  </si>
  <si>
    <t>Jó kéz</t>
  </si>
  <si>
    <t>Fizikai fáradáspont</t>
  </si>
  <si>
    <t>Mentális fáradáspont</t>
  </si>
  <si>
    <t>Harmadik genotípus, Egysíkú</t>
  </si>
  <si>
    <t>Tulajdonságérték</t>
  </si>
  <si>
    <t>Módosító</t>
  </si>
  <si>
    <t>Szint/szorzó</t>
  </si>
  <si>
    <t>Abeomágia</t>
  </si>
  <si>
    <t>Asztrálmágia</t>
  </si>
  <si>
    <t>Átok</t>
  </si>
  <si>
    <t>Barkácsolás</t>
  </si>
  <si>
    <t>Átváltoztatás</t>
  </si>
  <si>
    <t>Háztartástan</t>
  </si>
  <si>
    <t>Bűbáj</t>
  </si>
  <si>
    <t>Idézés</t>
  </si>
  <si>
    <t>Kereskedelem</t>
  </si>
  <si>
    <t>Igézés</t>
  </si>
  <si>
    <t>Megjelenés/Smink</t>
  </si>
  <si>
    <t>Aero</t>
  </si>
  <si>
    <t>Mentálmágia</t>
  </si>
  <si>
    <t>Hydro</t>
  </si>
  <si>
    <t>Távoljárás</t>
  </si>
  <si>
    <t>Szexuális kultúra</t>
  </si>
  <si>
    <t>Pyro</t>
  </si>
  <si>
    <t>Tradíció</t>
  </si>
  <si>
    <t>Tájékozódás</t>
  </si>
  <si>
    <t>Terro</t>
  </si>
  <si>
    <t>Gasztronómia</t>
  </si>
  <si>
    <t>Nekro</t>
  </si>
  <si>
    <t>Képzőművészet -</t>
  </si>
  <si>
    <t>Vitae</t>
  </si>
  <si>
    <t>Kreatív írás</t>
  </si>
  <si>
    <t>Csábítás</t>
  </si>
  <si>
    <t>született</t>
  </si>
  <si>
    <t>Megadott körülmények létrejöttekor +D6 a nem mágikus próbákra. A pontértéket Mesélő segítségével kell megválasztani. Minél gyakoribb a körülmény, annál magasabb az előny pontszáma. 1 pontért csak akkor kedvez, ha van a környezetében piros ruhás nő, 4-ért azonban, ha lakott településen van.</t>
  </si>
  <si>
    <t>Minden nem mágikus Akarakterő alapú képzettségpróbához +d6 járul</t>
  </si>
  <si>
    <t>+ 2 Igézés</t>
  </si>
  <si>
    <t>Megduplázza a foglalat hatását, ha az a használat közben érvényesül.</t>
  </si>
  <si>
    <t>+ 2 Bűbáj</t>
  </si>
  <si>
    <t>Öttel növeli a fizikum tulajdonságot abból a szempontból, hogy mennyi szintnyi bájitalt fogyaszthatsz el</t>
  </si>
  <si>
    <t>Aurában 2 pontos Kritikus találat előnyt ad</t>
  </si>
  <si>
    <t>+ 2 Átok</t>
  </si>
  <si>
    <t>1-el erősíti a Bázisból származó bónuszt, ha az használat közben érvényesül</t>
  </si>
  <si>
    <t>+ 2 Átváltoztatás</t>
  </si>
  <si>
    <t>Járművezetés -</t>
  </si>
  <si>
    <t>Játék -</t>
  </si>
  <si>
    <t>Sport -</t>
  </si>
  <si>
    <t>Tánc -</t>
  </si>
  <si>
    <t>Zene -</t>
  </si>
  <si>
    <t>Fegyveres harc -</t>
  </si>
  <si>
    <t>Mágikus Tudományok -</t>
  </si>
  <si>
    <t>Műszaki tudományok -</t>
  </si>
  <si>
    <t>Művészettudományok -</t>
  </si>
  <si>
    <t>Orvostudományok -</t>
  </si>
  <si>
    <t>Társadalomtudományok -</t>
  </si>
  <si>
    <t>7.3</t>
  </si>
  <si>
    <t>Karakterlap fül többszörösíthető, alképzettséget igénylő képzettségek neve egységes</t>
  </si>
  <si>
    <t xml:space="preserve">Még ha amúgy tökéletesen is eltökélt, amikor harci helyzetbe kerül, egyszerűen leblokkol. Mit is kellene csinálni? Hogyan és miért? </t>
  </si>
  <si>
    <t>Minden harci helyzetben két tulajdonságból két pont levonódik. Hogy melyik ez a kettő, kockával kell kidobni: 1: Fizikum, 2: Ügyesség, 3: Észlelés, 4: Intelligencia, 5: Akaraterő, 6: Mágia (Ha a második tulajdonság kidobásánál ugyanazt dobod, dobj újra!)</t>
  </si>
  <si>
    <t xml:space="preserve">Csak szürkeárnyalatokban lát. </t>
  </si>
  <si>
    <t>Nem kapja meg az észlelésre járó bónuszokat átváltozva. Első átváltozás után emberalakban is így lát.</t>
  </si>
  <si>
    <t xml:space="preserve">Adj uramisten, de rögtön! Várni és várni… őrület. Mindent most azonnal akar, ha rajta múlna, akkor csettintéssel oldana meg mindent, csak ne kerüljön időbe. </t>
  </si>
  <si>
    <t>Akaraterő alapú képzettségpróbák egy szinttel nehezebbek.</t>
  </si>
  <si>
    <t xml:space="preserve">Egy állatnak az erdőben a helye, nem a nagyvárosban. </t>
  </si>
  <si>
    <t>Hordozó - 4</t>
  </si>
  <si>
    <t>Hírhedt - 4</t>
  </si>
  <si>
    <t>Híg vér - 4</t>
  </si>
  <si>
    <t>Hendikep - 4</t>
  </si>
  <si>
    <t>Helyzetfüggő - 4</t>
  </si>
  <si>
    <t>Hátulütő - 4</t>
  </si>
  <si>
    <t>Hátráltató körülmények - 4</t>
  </si>
  <si>
    <t>Haragos - 4</t>
  </si>
  <si>
    <t>Hagyománytisztelő - 4</t>
  </si>
  <si>
    <t>Gyenge találat - 4</t>
  </si>
  <si>
    <t>Gyáva - 4</t>
  </si>
  <si>
    <t>Gének gyengesége - 4</t>
  </si>
  <si>
    <t>Fókuszfüggő - 4</t>
  </si>
  <si>
    <t>Fogyatékos - 4</t>
  </si>
  <si>
    <t>Fóbia - 4</t>
  </si>
  <si>
    <t>Fizikai betegség - 4</t>
  </si>
  <si>
    <t>Feledékeny - 4</t>
  </si>
  <si>
    <t>Fáradékony - 4</t>
  </si>
  <si>
    <t>Elkötelezett - 4</t>
  </si>
  <si>
    <t>Dekoncentrált - 4</t>
  </si>
  <si>
    <t>Beteges motiváció - 4</t>
  </si>
  <si>
    <t>Beteges mánia - 4</t>
  </si>
  <si>
    <t>Berzerker - 4</t>
  </si>
  <si>
    <t>Beazonosítható - 4</t>
  </si>
  <si>
    <t>Audiovizuális hiba - 4</t>
  </si>
  <si>
    <t>Amnézia - 4</t>
  </si>
  <si>
    <t>Aluszékony - 4</t>
  </si>
  <si>
    <t>Allergia - 4</t>
  </si>
  <si>
    <t>Alárendelt - 4</t>
  </si>
  <si>
    <t>Alacsony ingerküszöb - 4</t>
  </si>
  <si>
    <t>Agresszió - 4</t>
  </si>
  <si>
    <t>Addikció - 4</t>
  </si>
  <si>
    <t>A jövő hiánya II - 4</t>
  </si>
  <si>
    <t>A Jövő hiánya I - 4</t>
  </si>
  <si>
    <t>Jóslás</t>
  </si>
  <si>
    <t>Átváltozott alakban nem lehet városi környezetben, a modern civilizáció semmilyen nyomát nem láthatja, mert ha mégis, őrjöng.</t>
  </si>
  <si>
    <t xml:space="preserve">Jobban véd az állatbunda, mint az emberbőr… </t>
  </si>
  <si>
    <t>Eszméletvesztéskor automatikusan felveszi az állatalakját, és őrjöngeni kezd.</t>
  </si>
  <si>
    <t>Feleződik a táplálkozásból származó fáradáspontok mennyisége, kivéve, ha vámpírból vagy szerviensből iszik.</t>
  </si>
  <si>
    <t xml:space="preserve">Akármilyen géniusz is legyen, egyszerűen nem mer. Az ő felkiáltása: Előre! S ameddig a többiek tevékenykednek, ő inkább a biztonságos háttérben marad. Ha lehet, a konfliktusokból is igyekszik kimaradni. </t>
  </si>
  <si>
    <t xml:space="preserve">Kezdeményezéseiből érték*2 pont vonódik le. </t>
  </si>
  <si>
    <t xml:space="preserve">Hiába a harci kedv, ha az ütései olyanok, mint a szúnyogcsípés. Valamiért nem tud akkora erővel ütni, sebezni, mint szeretne. </t>
  </si>
  <si>
    <t>A fizikai sebzések érték*20%-al kevesebbet sebeznek a célponton.</t>
  </si>
  <si>
    <t xml:space="preserve">Van egy bizonyos dolog, amelyet magasabb szinten sajátíthat el, mint a többit. </t>
  </si>
  <si>
    <t>Szó szerint génjeiben van a mágia.</t>
  </si>
  <si>
    <t>Az ő mozdulatai gyorsabbak, varázslatai gyorsabban jönnek létre.</t>
  </si>
  <si>
    <t>A karakter képes megállapítani az emberek érzelmeit. Ez akkor működik, ha a a célpont Intelligenciája 1 előnypont esetén: 12 alatti, 2: 14 alatti, 3: 16 alatti, 4: 18 alatti érték.</t>
  </si>
  <si>
    <t xml:space="preserve">Ami oly nehezen szerez meg egy vámpír, attól nehezen is válik meg. </t>
  </si>
  <si>
    <t>A mágikus próbák az adott körülmény fennálltakor egy szinttel nehezebbek. 1 pontért még csak, ha van egy nő a közelében, aki vörös ruhát visel, 4-ért azonban már ha egyáltalán van mellette bárki más.</t>
  </si>
  <si>
    <t>Értéknek megfelelő pontot kell szétosztani a kapcsolati táblázat szerint, melyet fel kell tüntetni a karakterlapon. 1: 13, 2: 16, 3: 19, 4: 22. A hátráltató hátrány többször is felvehető, azonban csak különböző személyekre/csoportokra. Ugyanazon személyekre nem vehető fel a jóakaró.</t>
  </si>
  <si>
    <t>Szárazföldi</t>
  </si>
  <si>
    <t>Vízi</t>
  </si>
  <si>
    <t>evezőshajó</t>
  </si>
  <si>
    <t>gőzhajó</t>
  </si>
  <si>
    <t>motoros csónak</t>
  </si>
  <si>
    <t>vitorlás hajó</t>
  </si>
  <si>
    <t>motorikus nagyhajó</t>
  </si>
  <si>
    <t>vitorlás nagyhajó</t>
  </si>
  <si>
    <t>tengeralattjáró</t>
  </si>
  <si>
    <t>Légi</t>
  </si>
  <si>
    <t>léghajó</t>
  </si>
  <si>
    <t>vitorlázó repülőgép</t>
  </si>
  <si>
    <t>turbolégcsavaros</t>
  </si>
  <si>
    <t>légcsavaros</t>
  </si>
  <si>
    <t>sugárhajtóműves</t>
  </si>
  <si>
    <t>helikopter</t>
  </si>
  <si>
    <t>űrrepülőgép</t>
  </si>
  <si>
    <t>Bázis</t>
  </si>
  <si>
    <t>Fókuszeszköz</t>
  </si>
  <si>
    <t>Előfordulás</t>
  </si>
  <si>
    <t>Hatás</t>
  </si>
  <si>
    <t>Bronz</t>
  </si>
  <si>
    <t>Aurában 10-es célszámú entitáslátásként működik</t>
  </si>
  <si>
    <t>Vörösréz</t>
  </si>
  <si>
    <t>Alumínium</t>
  </si>
  <si>
    <t>Az ezzel varázsoltak sebzésértéke 2 ÉP-vel nagyobb</t>
  </si>
  <si>
    <t>A karakter egy testi betegségben szenved, melynek mivoltát és hatását a Mesélővel egyeztetve kell kitalálni, majd a megjegyzéseknél fel kell tüntetni.</t>
  </si>
  <si>
    <t>Hm, szóval állítólag ez a tárgy okozza az eltűnéseket.. Próbáljuk ki!</t>
  </si>
  <si>
    <t>Csak még öt percet…</t>
  </si>
  <si>
    <t>Addikció</t>
  </si>
  <si>
    <t>A karakter egy mentális betegségben szenved, melynek mivoltát és hatását a Mesélővel egyeztetve kell kitalálni, majd a megjegyzéseknél fel kell tüntetni. Akárcsak a hagyományos betegségek esetén, az aurán látható nyoma van a mentális problémáknak is.</t>
  </si>
  <si>
    <t>Kényszerbetegség</t>
  </si>
  <si>
    <t>Nikotin, alkohol, kábszer.. Annyi minden van, ami megtörheti egy ember akaratát.</t>
  </si>
  <si>
    <t>A viselkedési addikciók néha kegyetlenebb métely, mint bármi más.</t>
  </si>
  <si>
    <t>Ellenálló</t>
  </si>
  <si>
    <t>Addikció, Kényszerbetegség</t>
  </si>
  <si>
    <t>Mindennek ellen lehet állni, csak a kísértésnek nem - bárki is állítja ezt, nem találkozott még vele.</t>
  </si>
  <si>
    <t>Nem lehet rászoktatni semmilyen szerre, kényszerbetegségre.</t>
  </si>
  <si>
    <t xml:space="preserve">Ismerik a nevét, tudják, hogy bizonyos kérdésekben hozzá kell fordulni, vagy csak egyszerűen népszerűbb a foglalkozása, vagy valamely tette miatt, mint mások, az emberek általában ezért jó véleménnyel vannak róla. </t>
  </si>
  <si>
    <t>Pontértéke a Hírnevet ismerő kör nagyságától függ. 1 pontért még csak a közvetlen környezete rajong érte, 4-ért azonban már a fél világ - ha nem az egész. Ugyanazon körre nem vehető fel a hírhedt.</t>
  </si>
  <si>
    <t>1 pontért még csak a helyi pletykák szerezhetőek be könnyedén, 4-ért azonban akár a legtitkosabb ügyekbe is bepilantást nyerhet. Értéknek megfelelő pontot kell szétosztani a kapcsolati táblázat szerint, melyet fel kell tüntetni a karakterlapon. 1: 13, 2: 16, 3: 19, 4: 22. A kapcsolatok előny többször is felvehető, azonban csak különböző személyekre/csoportokra. Az adott körre nem vehető fel priusz.</t>
  </si>
  <si>
    <t>Olyan kifinomultak az ösztönei, mikor mások ész nélkül cselekednek, ő még akkor is tiszta fejjel képes reagálni.</t>
  </si>
  <si>
    <t>Két pont esetén vagy Fizikai vagy Mágikus, négy pont esetén minden ösztön esetén vázolhatod a Mesélőnek, hogy mikor és mit szeretne tenni a karakter.</t>
  </si>
  <si>
    <t>Alkalmazkodóképes</t>
  </si>
  <si>
    <t xml:space="preserve">Emberalakban is rendelkezik néhány állatias vonással (például meg tudja vakarni a fülét a hátsó mancsával… vagyis lábával). </t>
  </si>
  <si>
    <t>Auralátó</t>
  </si>
  <si>
    <t>Berzerker</t>
  </si>
  <si>
    <t>A vadmágiához tartozó fáradáspontot le kell vonni.</t>
  </si>
  <si>
    <t>Vendigó</t>
  </si>
  <si>
    <t xml:space="preserve">Radarozó emberfülek? Függőleges pupilla? </t>
  </si>
  <si>
    <t>Mágusnál az abeo-alakra vonatkozik (akkor is, ha sosem tanulta, választani kell egy, a feltételeknek megfelelő lényt)</t>
  </si>
  <si>
    <t>Érzék</t>
  </si>
  <si>
    <t>Hirtelen gyrosra támad kedve, és közben megment egy fontos embert? Más úton megy haza és elkerül egy támadást? Nem okot ismer, csak kiválóak a megérzései, tudja, hogy hova kell lépnie, kire kell hallgatnia, mit kell mondania.</t>
  </si>
  <si>
    <t xml:space="preserve">Valamiért mindig rosszul sikerülnek azok a képek, melyeknek elkészítésébe nem egyezett bele a vámpír. </t>
  </si>
  <si>
    <t>Minden segítségnyújtásnál +1 pont jár annak, akinek segít, és a segítésért nem fárad.</t>
  </si>
  <si>
    <t>Semmilyen ÉP, FP vesztés esetén nem ájul el, kivéve, ha életereje lecsökken nullára vagy az alá. Ha a karakter likantróp, az MFP, ha vámpír, az FFP érték nullára esésével kezd csak őrjöngésbe.</t>
  </si>
  <si>
    <t>Hiába tanul mágiát, még mindig az átlagosnál több vadmágiát okoz. Megszokottak körülötte a váratlan, érthetetlen események, ezért kockázatos sokáig talanok közt lennie.</t>
  </si>
  <si>
    <t>Hiába tanul mágiát, még mindig az átlagosnál több vadmágiát okoz, különösen, ha megsérül. Megszokottak körülötte a váratlan, érthetetlen események, ezért kockázatos sokáig talanok közt lennie.</t>
  </si>
  <si>
    <t>Túlfejlett, Egy genotípus</t>
  </si>
  <si>
    <t>+ 2 élet varázslatokra</t>
  </si>
  <si>
    <t>Aurában Túlélő előnyt ad</t>
  </si>
  <si>
    <t>+ 10% bónusz a sebzésre</t>
  </si>
  <si>
    <t>+ 2 föld varázslatokra</t>
  </si>
  <si>
    <t>+ 2 asztrális varázslatokhoz</t>
  </si>
  <si>
    <t>+ 2 semleges varázslatokra</t>
  </si>
  <si>
    <t>A tulajdonos személyes auráján kívül Fájdalmas mágia hátrányt ad a használónak</t>
  </si>
  <si>
    <t>Aurában Rendíthetetlen előnyt ad</t>
  </si>
  <si>
    <t>+ 4 művészeti varázslatokra</t>
  </si>
  <si>
    <t>Varázslatonként 2 ÉP-t gyógyul a hsználó.</t>
  </si>
  <si>
    <t>+ 3 reflexhez, ha ezzel a fókusztárggyal reagál a használó</t>
  </si>
  <si>
    <t>+ 2 halál varázslatokra</t>
  </si>
  <si>
    <t>+ 2 tűz varázslatokra</t>
  </si>
  <si>
    <t>+ 2 férfi célpontra</t>
  </si>
  <si>
    <t>+ 2 levegő varázslatokra</t>
  </si>
  <si>
    <t>+ 10% bónusz az időtartamra</t>
  </si>
  <si>
    <t>Működés</t>
  </si>
  <si>
    <t>Használat</t>
  </si>
  <si>
    <t>Aurában</t>
  </si>
  <si>
    <t>Egy használója által kívánt varázslatot elnyel a fókusz (reakcióként lehet használni), de ez a képesség nem használható újra, amíg nem semlegesítik a benne lévőt</t>
  </si>
  <si>
    <t>Tulajdonos auráján kívül</t>
  </si>
  <si>
    <t>+ 2 állat célpontra</t>
  </si>
  <si>
    <t>+ 2 női célpontra</t>
  </si>
  <si>
    <t>+ 10% bónusz a hatókörre</t>
  </si>
  <si>
    <t>+ 2 a mentális varázslatokhoz</t>
  </si>
  <si>
    <t>+ 2 víz varázslatokra</t>
  </si>
  <si>
    <t>+ 4 az ezzel a fókusztárggyal, reflexben varázsolt varázslatokra</t>
  </si>
  <si>
    <t>Üveg</t>
  </si>
  <si>
    <t>Minden ellene irányuló szociális próbára (Kereskedelem, Szexuális kultúra, Csábítás, Színészet, Szónoklás, Csalás, Megfélemlítés, Meggyőzés, Vallatás, Diplomácia) bónuszt kapnak az éjlények. 1: egy szabadon választott kör egy szintet, 2: két szabadon választott kör egy szintet, 3: minden éjlény egy szintet, 4: minden éjlény két szintet.</t>
  </si>
  <si>
    <t>Asztrál</t>
  </si>
  <si>
    <t>Természettudományok -</t>
  </si>
  <si>
    <t>Mentál</t>
  </si>
  <si>
    <t>Semleges</t>
  </si>
  <si>
    <t>Látható kor</t>
  </si>
  <si>
    <t>típus</t>
  </si>
  <si>
    <t>szorzó</t>
  </si>
  <si>
    <t>módosító</t>
  </si>
  <si>
    <t>alap</t>
  </si>
  <si>
    <t>tp</t>
  </si>
  <si>
    <t>mágus származás</t>
  </si>
  <si>
    <t>kevert származás</t>
  </si>
  <si>
    <t>talan származás</t>
  </si>
  <si>
    <t>talan/sutta</t>
  </si>
  <si>
    <t>Ember</t>
  </si>
  <si>
    <t>K+K</t>
  </si>
  <si>
    <t>K</t>
  </si>
  <si>
    <t>K+Gy</t>
  </si>
  <si>
    <t>T</t>
  </si>
  <si>
    <t>T+K</t>
  </si>
  <si>
    <t>T+Koravén</t>
  </si>
  <si>
    <t>T+Gyerekes</t>
  </si>
  <si>
    <t>T+K+Koravén</t>
  </si>
  <si>
    <t>T+K+Gy</t>
  </si>
  <si>
    <t>Nyelvismeret -</t>
  </si>
  <si>
    <t>Likantrópia</t>
  </si>
  <si>
    <t>Ragadozó</t>
  </si>
  <si>
    <t>"Látod azt pléhpofát a sarokban? Na, vele ne ülj le sose pókerezni!"</t>
  </si>
  <si>
    <t>Van, amikor egyszerűen be kell nyelni egy ütést, hogy végül felülkerekedhess.</t>
  </si>
  <si>
    <t>Csalogató</t>
  </si>
  <si>
    <t>Territórium</t>
  </si>
  <si>
    <t>Csak egy bizonyos helyen hajlandó átváltozni. Minél kisebb ez a hely, annál nagyobb a hátrány. Amennyiben máshol kell átváltoznia, örjöng.</t>
  </si>
  <si>
    <t>Válogatós vadász</t>
  </si>
  <si>
    <t>Könnyen alkalmazkodik új emberekhez, vagy helyzetekhez, minden új társasággal való első találkozáskor olyan, mintha kapcsolatok 1-el rendelkezne feléjük.</t>
  </si>
  <si>
    <t>Egy elbűvölő ember</t>
  </si>
  <si>
    <t>Élelmes</t>
  </si>
  <si>
    <t>Herkules</t>
  </si>
  <si>
    <t>Időérzék</t>
  </si>
  <si>
    <t>Aurában Irányérzék előnyt ad</t>
  </si>
  <si>
    <t>Csak a tulajdonos személyes aurájában működik</t>
  </si>
  <si>
    <t>Tulajdonoson kívül, más aurájában Gondatlan varázsló hátrány</t>
  </si>
  <si>
    <t>Aurában Időérzék előnyt ad</t>
  </si>
  <si>
    <t>Tulajdonoson kívül, más kezében -2 minden varázslatra</t>
  </si>
  <si>
    <t>Párhuzamos fejlődés</t>
  </si>
  <si>
    <t>Feltétel</t>
  </si>
  <si>
    <t>Int + Aka módosító &gt;= 2</t>
  </si>
  <si>
    <t>Int + Aka módosító &gt;= 8</t>
  </si>
  <si>
    <t>Fejlődési érték (%)</t>
  </si>
  <si>
    <t>Tanulásból kapható Tapasztalati pontok</t>
  </si>
  <si>
    <t>Munkából kapható Tapasztalati pontok</t>
  </si>
  <si>
    <t>Prioritás</t>
  </si>
  <si>
    <t>Elsődleges feltétel, mindenkinek jár</t>
  </si>
  <si>
    <t>Az Általános típusú képzettségpróbákhoz +D6 járul.</t>
  </si>
  <si>
    <t>Az ő szervezete képes a gyors regenerálódásra, sokkal hamarabb kiheveri a sérüléseket, mint más.</t>
  </si>
  <si>
    <t>Gyorsabban gyógyul, vagyis pihenéskor másfél óránként tér vissza 1 ÉP.</t>
  </si>
  <si>
    <t xml:space="preserve">Joggal nevezhetnék a karaktert kora Herkulesének, hiszen képes jobban kihasználni testét. </t>
  </si>
  <si>
    <t>Van, aki a mohát figyeli, van aki a csillagokat. Ő azonban jó érzékkel tudja, hogy merre induljon, legyen bármilyen sötét, akár egy nagyváros közepén is.</t>
  </si>
  <si>
    <t xml:space="preserve"> Kiváló a térérzékelése, mindig tudja, hol van, merre van Észak, bárhol is legyen, akár szögpercre pontosan is meg tud adni koordinátákat, zárt helyeken pedig tudja, merre érdemes kifele indulni.</t>
  </si>
  <si>
    <t xml:space="preserve">Aki éhes eszik. A legtöbb vérfarkast annyira kimeríti a rendes havi átalakulás, hogy azonnal vadászni kezd. </t>
  </si>
  <si>
    <t>Ha rendesen étkezett átváltozás előtt, és átváltozva megtartotta a tudatát, nem szükséges vadásznia.</t>
  </si>
  <si>
    <t xml:space="preserve">Neki mindenféle ige kimondása nélkül is megy a varázslás. </t>
  </si>
  <si>
    <t>Varázsige elhagyása esetén sem kap semmiféle nehezítést.</t>
  </si>
  <si>
    <t>Amikor más menekül, ő megveti a lábát. Nehéz megrémíteni.</t>
  </si>
  <si>
    <t xml:space="preserve"> Védekezéskor akaraterő alapú képzettségekhez a célszám nehézségétől függően szintenként +1 pont jár a próbához. Kivéve varázslatjártasságok esetén.</t>
  </si>
  <si>
    <t>Inkább jobban ugrik, mint nagyobbat harap.</t>
  </si>
  <si>
    <t xml:space="preserve"> Az átváltozott alakban kapott Fizikum helyett Ügyességre kapja a pontokat.</t>
  </si>
  <si>
    <t>Olyan… kiskutyaszerű, vagy macskamódra dorombol.  De könnyen előfordulhat, hogy a látszat csal…</t>
  </si>
  <si>
    <t>Vadállatias formája ellenére, aki szembekerül vele nem találja félelmetesnek, inkább aranyosnak, barátságosnak és veszélytelennek. Akár városban, talanok között is járhat-kelhet, csupán beöltözött embernek vagy nagyranőtt kutyának nézik.</t>
  </si>
  <si>
    <t>Leesik a tű, és ő nem csak meglátja, hogy hova, de még hallja is. Semmi sem kerülheti el a figyelmét.</t>
  </si>
  <si>
    <t>Minden megjelenés alapú képzettségpróbához +D6 járul.</t>
  </si>
  <si>
    <t>Minden fizikum alapú képzettségpróbához +D6 járul.</t>
  </si>
  <si>
    <t xml:space="preserve"> Minden észlelés alapú képzettségpróbához +D6 járul.</t>
  </si>
  <si>
    <t>Kategóriák</t>
  </si>
  <si>
    <t>A Kategóriás munka</t>
  </si>
  <si>
    <t>B Kategóriás munka</t>
  </si>
  <si>
    <t>C Kategóriás munka</t>
  </si>
  <si>
    <t>D Kategóriás munka</t>
  </si>
  <si>
    <t>E Kategóriás munka</t>
  </si>
  <si>
    <t>középvezető beosztás, tanárok, mester- és szakemberek, középvállalkozók, martioni tanárok.</t>
  </si>
  <si>
    <t>(vállalati vagy hivatali) alkalmazottak (átlagos többség), kisvállalkozók kormányalkalmazottak, aktatologatók.</t>
  </si>
  <si>
    <t>eltartott, munkanélküli, vagy képzettséget nem igénylő munka.</t>
  </si>
  <si>
    <t>gemmáriusok, hivatali vezetők, aktív, folyamatos tanulást igénylő munkák magas rangú kormánybeosztott.</t>
  </si>
  <si>
    <t>szakmunka, segédmunka, bedolgozás, alkalmi-és diákmunkák vagy fizikai munkák.</t>
  </si>
  <si>
    <t>A legtöbb ember látja, hogy a szavai, a tettei milyen hatással vannak más emberekre. Egy gesztus, egy összevont szemöldök, szemforgatás, ingerültebb hangszín mind-mind árulkodó. Feltéve, hogy az ember rendelkezik azokkal az alapszenzorokkal, amik elárulják, hogy a másik ember éppen dühös ránk, vagy szerelmes belénk. Ha ez a szenzor hiányzik, akkor viszont csak találgathatunk...</t>
  </si>
  <si>
    <t>Nem segíthet és neki sem segíthetnek szociális képzettségekben (Kereskedelem, Szexuális kultúra, Csábítás, Színészet, Szónoklás, Csalás, Megfélemlítés, Meggyőzés, Vallatás, Diplomácia), illetve hátránypontoknak megfelelő szinttel nehezebben puhatolhatja ki mások érzelmeit, függetlenül attól, milyen képzettséget használ erre.</t>
  </si>
  <si>
    <t>Árulkodó jelek</t>
  </si>
  <si>
    <t>Frissítések</t>
  </si>
  <si>
    <t>A Szag nevű hátrány Árulkodó jelek névre hallgat a továbbiakban</t>
  </si>
  <si>
    <t>7.2</t>
  </si>
  <si>
    <t>Hosszú hold</t>
  </si>
  <si>
    <t>Árulkodó jelek - 1</t>
  </si>
  <si>
    <t>Árulkodó jelek - 2</t>
  </si>
  <si>
    <t>Árulkodó jelek - 3</t>
  </si>
  <si>
    <t>Árulkodó jelek - 4</t>
  </si>
  <si>
    <t>Telihold. Hogy két nap múlva? Nem, ó nem. Nekem ma is, holnap is, holnapután is. Látod, milyen szép kerek? Egyet mondhatok. Fuss.</t>
  </si>
  <si>
    <t>Teliholdkor nem muszáj átváltoznia, azonban az elkövetkezendő hónapban köteles annyi napon bepótolni az átváltozási rítust (átváltozás, vadászat, stb), ahány napos volt a telehold. Amennyiben ez elmarad, a következő teleholdkor a karakter őrjöng.</t>
  </si>
  <si>
    <t xml:space="preserve">Van aki ballal, van aki jobb lábbal kel. Minden nap valami másban, valami újban brillírozik a karakter, ami igazán nagy hasznára van. </t>
  </si>
  <si>
    <t>Minden nap reggelén D6-tal ki kell dobni, mely tulajdonságnak az értéke kap +6-ot aznap. 1: észlelés, 2: ügyesség, 3: akaraterő, 4-5: te választhatsz, 6: egyik sem.  Ezzel együtt sem lehet azonban magasabb a tulajdonságpont, mint 20. Felvehető a Bal lábballal, ekkor először a hátrány, aztán az előny utasításait kell követni.</t>
  </si>
  <si>
    <t xml:space="preserve">Neki mindig van esélye a javításra. </t>
  </si>
  <si>
    <t>Minden képzettségpróba alapkockáját egyszer újradobhatod, és a két dobásból a nagyobbat választhatod.</t>
  </si>
  <si>
    <t>Tulajdonságok</t>
  </si>
  <si>
    <t>Fizikum</t>
  </si>
  <si>
    <t>Ügyesség</t>
  </si>
  <si>
    <t>Észlelés</t>
  </si>
  <si>
    <t>Intelligencia</t>
  </si>
  <si>
    <t>Megjelenés</t>
  </si>
  <si>
    <t>Akaraterő</t>
  </si>
  <si>
    <t>Mágia</t>
  </si>
  <si>
    <t>ember</t>
  </si>
  <si>
    <t>mód</t>
  </si>
  <si>
    <t>éjlény</t>
  </si>
  <si>
    <t>aktuális</t>
  </si>
  <si>
    <t>Tulajdonságpontok</t>
  </si>
  <si>
    <t>Tapasztalati pontok</t>
  </si>
  <si>
    <t>maradt</t>
  </si>
  <si>
    <t>érték</t>
  </si>
  <si>
    <t>Kezdeményezés</t>
  </si>
  <si>
    <t>Reflex</t>
  </si>
  <si>
    <t>Fizikai ösztön</t>
  </si>
  <si>
    <t>Mágikus ösztön</t>
  </si>
  <si>
    <t>A jövő ígérete I - 1</t>
  </si>
  <si>
    <t>A jövő ígérete I - 2</t>
  </si>
  <si>
    <t>A jövő ígérete I - 3</t>
  </si>
  <si>
    <t>A jövő ígérete I - 4</t>
  </si>
  <si>
    <t>Erős vér - 2</t>
  </si>
  <si>
    <t>Erős vér - 4</t>
  </si>
  <si>
    <t>Kifinomult ösztön - 2</t>
  </si>
  <si>
    <t>Kifinomult ösztön - 4</t>
  </si>
  <si>
    <t>Művésztehetség - 2</t>
  </si>
  <si>
    <t>Steril - 1</t>
  </si>
  <si>
    <t>Steril - 2</t>
  </si>
  <si>
    <t>Művésztehetség - 1</t>
  </si>
  <si>
    <t>A jövő ígérete II - 1</t>
  </si>
  <si>
    <t>állatalak</t>
  </si>
  <si>
    <t>Dekoncentr</t>
  </si>
  <si>
    <t>Van egy életcélja, egy irracionális motivációja, mely eszmék és képzetek köré csoportosul. Amennyiben nem ezért a célért törekszik, a próbák célszáma szinttől függően nehezedik. 1:1, 2:3, 3:6, 4:12 ponttal.</t>
  </si>
  <si>
    <t xml:space="preserve"> Csak talan vagy sutta veheti fel, ekkor azonban +7-et kap (a +2 mellett) a mágia tulajdonságra, amely még így sem lehet több 10-nél.</t>
  </si>
  <si>
    <t xml:space="preserve">Vannak olyan emberek, akik mágusnak születnek, hisz bármilyen mágikus tevékenységbe fognak, az könnyebben megy, mint bármi más. </t>
  </si>
  <si>
    <t>Minden Mágikus képzettségpróbához +D6 járul.</t>
  </si>
  <si>
    <t>Egy kis pihenés minden sérüléssel elbánik.</t>
  </si>
  <si>
    <t>Minden olyan képzettségpróbához, amely legfeljebb hármas alapértékkel van feléve, +D6 jár.</t>
  </si>
  <si>
    <t xml:space="preserve">Az első étkezés mindig a legfontosabb - főleg neki. </t>
  </si>
  <si>
    <t>24 óra alatt egyszer, amikor elsőként táplálkozik egy emberből, annak megfelelően kap tulajdonságpontot egy éjszakára: halandó: 5 pont, mágus: 6 pont, született/likantróp: 7 pont, született likantróp: 8 pont.</t>
  </si>
  <si>
    <t>Néhány dologban kifejezetten tehetséges.</t>
  </si>
  <si>
    <t>http://martion.alomvilag.hu/fooldal.php?link=szsz/index</t>
  </si>
  <si>
    <t>A zöldessárga mezőkbe szabadon írhatsz</t>
  </si>
  <si>
    <t>A sárga mezőkben a legördülő menüből választhatsz értéket</t>
  </si>
  <si>
    <t>A világoszöld mezőket játék során érdemes használni</t>
  </si>
  <si>
    <t>Krizokolla</t>
  </si>
  <si>
    <t>Aurában a Tradíció képzettséghez +2 járul</t>
  </si>
  <si>
    <t>Aurában Kétkezesség előnyt ad</t>
  </si>
  <si>
    <t>Minden térmágia egy szinttel könnyebb, és a távoljárás szorzója eggyel kisebb.</t>
  </si>
  <si>
    <t>A vámpírok harapása az esetek nagy többségében roppant kellemes, azonban vannak olyanok, akiknek ehhez semmiféle erőfeszítést sem kell tenniük.</t>
  </si>
  <si>
    <t>Ha valakinek a szülei különböző nemzetiségűek, az sok hátránnyal jár, de akad egy igen komoly előnye: karaktered mindkét nyelven beszélni fog.</t>
  </si>
  <si>
    <t xml:space="preserve">Akadnak jobbkezesek, és balkezesek. Mindenesetre mindenkinek van olyan keze, amelyben nem áll olyan jól a pálca, vagy a toll. Ő a kivétel, hiszen ügyessége legyőzi ezt az akadályt. </t>
  </si>
  <si>
    <t>Mindkét kezével tud levonás nélkül cselekedni, akár egyszerre is.</t>
  </si>
  <si>
    <t xml:space="preserve">Vannak olyan vámpírok, akik még a saját halálukat is átalusszák. Ő nem. </t>
  </si>
  <si>
    <t>A nagyobb zajokra ugyanis felébred, és fél órán keresztül cselekvőképes, azonban 24 óra alatt le kell aludnia a pihenési idejét.</t>
  </si>
  <si>
    <t xml:space="preserve">Az emberek elsőre megkedvelik, jó benyomással vannak róla, noha nem tudják, miért szimpatikus. </t>
  </si>
  <si>
    <t xml:space="preserve">Minden ismeretlenek ellen használt szociális képzettség (Kereskedelem, Szexuális kultúra, Csábítás, Színészet, Szónoklás, Csalás, Megfélemlítés, Meggyőzés, Vallatás, Diplomácia) próba egy szinttel könnyebb. </t>
  </si>
  <si>
    <t>Zenész, festő, szobrász… akármi lehet belőle, hiszen megvan a tehetsége hozzá.</t>
  </si>
  <si>
    <t xml:space="preserve">Koporsó kell az alváshoz, folyó víz felett képtelen átmenni… </t>
  </si>
  <si>
    <t>Muszáj követnie a régi szokásokat. Ha valamelyiket nem tudja tartani, megpróbál menekülni, és ha nem sikerül, pszichoszomatikus alapon percenként (harci helyzetben körönként) szintnek megfelelő életerőt veszít.</t>
  </si>
  <si>
    <t xml:space="preserve">Valakit feldühített, illetve olyat tett, ami miatt a másik mindent elkövet, hogy a karakter ne jusson előrébb az életben (se). </t>
  </si>
  <si>
    <t xml:space="preserve">Vannak dolgok, amik zavaróan hatnak rá, és emiatt nem tud koncentrálni. Szeretné, de nem megy. </t>
  </si>
  <si>
    <t xml:space="preserve">Kisebb, vékonyabb, gyengébb az átlagnál, nem is kevesebbel. </t>
  </si>
  <si>
    <t>Hátránypontoknként 5 ÉP-vel kevesebbel rendelkezik.</t>
  </si>
  <si>
    <t xml:space="preserve">Minden cselekedetét fáradságosabban viszi véghez. </t>
  </si>
  <si>
    <t>Ha cselekvés miatt veszít Fáradáspontot, annak az értéke duplázódik. Két pont esetén csak az egyikre, négy pont esetén mindkét fáradáspontra igaz ez.</t>
  </si>
  <si>
    <t xml:space="preserve">Még meg sem jelenik, de már mindenki tudja, ki ő, és nem éppen azért, mert olyannyira népszerű. Vagy talán mégiscsak azért, mert túl sokan ismerik a rosszabbik oldaladról? </t>
  </si>
  <si>
    <t>A vámpír nemzője erejét megkapja egy időre így az ő tulajdonságpontjait veheti figyelembe, ami előnypontonként 3-mal több, mint a karakter saját tulajdonságpontjai. A képesség egy héten egyszer használható, és legfeljebb 24 óráig tart a hatása (mely bármikor érvényteleníthető a karakter döntése alapján). Egy második karakterlapon fel kell tüntetni a nemző értékeit.</t>
  </si>
  <si>
    <t>Minél magasabb szinten van felvéve, annál jobb a karakter anyagi helyzete. 1-es esetén még csak bőséges a zsebpénze, de 4 ponttal már milliárdos. Havi jövedelem/bevétel és vagyon: 1: 5-500, 2: 50-5000, 3: 500-50000, 4:5000-500000 tallér. Az anyagi háttér értékét minden esetben a Mesélő hatrozza meg, egyéni elbírálás alapján.</t>
  </si>
  <si>
    <t>Ahány ház, annyi szokás, ám de ő sosem téveszti el, melyikben mit szokás.</t>
  </si>
  <si>
    <t xml:space="preserve">Könnyedén bele tud helyezkedni mások érzelmi világába, éppen ezért könnyebben elnavigál közöttük. </t>
  </si>
  <si>
    <t>Pankráció</t>
  </si>
  <si>
    <t>Tánc</t>
  </si>
  <si>
    <t>Néptánc</t>
  </si>
  <si>
    <t>Versenytánc</t>
  </si>
  <si>
    <t>Moderntánc</t>
  </si>
  <si>
    <t>Társastánc</t>
  </si>
  <si>
    <t>Színpadi tánc</t>
  </si>
  <si>
    <t>Divattánc</t>
  </si>
  <si>
    <t>Minél magasabb a hátrány értéke, karaktered emberalakban annál több állatias, fizikai tulajdonság birtokosa. Ezek az élete végéig megmaradnak. 1 pontért ez hegyesebb fület, de 4 pontért már teljesen elállatiasodott külsőt jelent.</t>
  </si>
  <si>
    <t>Méregellenálló</t>
  </si>
  <si>
    <t>Méregérzékeny</t>
  </si>
  <si>
    <t>Akadnak olyanok, akiknek a szervezete másképp dolgozza fel az ártó anyagokat. Az övé meglepően ellenálló mindenfajta káros hatású anyaggal, pl.: bájitalokkal, alkohollal szemben.</t>
  </si>
  <si>
    <t>Gyógyító mágia</t>
  </si>
  <si>
    <t>Fájdalmas mágia</t>
  </si>
  <si>
    <t>Szerencsés</t>
  </si>
  <si>
    <t>Gondos varázsló, Gondatlan varázsló, Szerencsétlen, Üres lap</t>
  </si>
  <si>
    <t>Minden képzettsépróba alapkockájának eredményéhez +1 járul.</t>
  </si>
  <si>
    <t>Szűz kéz</t>
  </si>
  <si>
    <t>A vér szaga</t>
  </si>
  <si>
    <t xml:space="preserve">A kifinomult szaglás bizonyos helyzetekben elengedhetetlen, ha valaki tudni akarja, kik - vagy mik veszik körül. </t>
  </si>
  <si>
    <t>Bátor</t>
  </si>
  <si>
    <t xml:space="preserve">Kezdeményezéshez érték*2 pont jár. </t>
  </si>
  <si>
    <t>Fogékony</t>
  </si>
  <si>
    <t xml:space="preserve">Minden olyan varázslat, melynek eleme megegyezik valamelyik genotípusával érték*2 bónuszt kap az adott varázslatpróbához. Egyező genotípusok esetén kétszer kapja meg a karakter a bónuszt. </t>
  </si>
  <si>
    <t>Egy pumát megszégyenítőek a reflexei. Szinte azonnal reagál mindenre, nem várja meg, hogy más megelőzze.</t>
  </si>
  <si>
    <t>Minden reflexpróbára + érték*2 pont jár.</t>
  </si>
  <si>
    <t>Átváltozott alakban értékszer +2-t kap fizikumra és +1-et észlelésre. (Azonban így sem lehet nagyobb a tulajdonságpont 20-nál.)</t>
  </si>
  <si>
    <t>Minden életerő visszanyeréskor a karakter ugyanannyi fáradáspontot is visszaszerez (szabadon választhat, hogyan osztja el a mentális és a fizikai fáradáspontok között).</t>
  </si>
  <si>
    <t>Az ezüst által okozott sérülések ugyanolyan gyorsan gyógyulnak mint a szokványosak.</t>
  </si>
  <si>
    <t>Van, aki logikának nevezi, páran józan észnek, de ez több annál: a gyakorlatiasság művészete.</t>
  </si>
  <si>
    <t xml:space="preserve">Annyit agyal, annyira túlbonyolítja az egyszerű dolgokat is, hogy mire a többiek megcsináltak valamit, ő még csak akkor áll neki. Gondosan, szinte kényszeresen készít elő mindent, mert a tervezés az első. </t>
  </si>
  <si>
    <t>A Gyakorlati képzettségeinek fejlesztése egy szorzóval nehezebb (vagyis 4-es).</t>
  </si>
  <si>
    <t xml:space="preserve">Ez a vámpír nappal halott. Nem alszik, nem szendereg - halott. Nappal képtelen bármire is felébredni, még a saját végső halálát is átalussza. </t>
  </si>
  <si>
    <t>A vámpír a saját pihenési idejében minden tekintetben halottnak minősül.</t>
  </si>
  <si>
    <t>Pihentető alvás</t>
  </si>
  <si>
    <t xml:space="preserve">Magára van utalva, nem számíthat senkire, jól tudja. Aljas kedvességgel azt mondják mások, segíthetnek bármiben - de ő is tudja: Neki senki sem segíthet. </t>
  </si>
  <si>
    <t xml:space="preserve">Bármit is akar, nem nagyon sikerül, pedig ő mindent megtesz érte, csak az mindig balul sül el. Van ilyen. Vele gyakran előfordul, hogy bajba kerül, vagy éppen rosszul jön ki valami. </t>
  </si>
  <si>
    <t xml:space="preserve">Képzettségpróbáknál az első egyes balsiker. </t>
  </si>
  <si>
    <t xml:space="preserve">Ő a  civilizáció csúcsa..! </t>
  </si>
  <si>
    <t xml:space="preserve">Nem a ruha teszi az embert... de mégis jobb, ha tiszta és rendes, nemde? Jól tudja, alig tíz perc bónusz a fürdőben, és máris úgy fest, mint akit skatulyából húztak elő. Még negyven pedig olyanná teszi, mintha most hagyta volna el a szárnyait, s pottyant volna le a Mennyből. </t>
  </si>
  <si>
    <t>Ez inkább aranyos, semmint hátráltató. Kínos helyzetben Önuralompróbát igényel a rajta való uralkodás. Minél kellemetlenebb a helyzet, annál nagyobb a próba.</t>
  </si>
  <si>
    <t xml:space="preserve">A saját világa sokkal fontosabb mindennél, sokszor mereng, kalandozik el, és bizony ezeket a vágyakat kergeti. Az egyik pillanatban még itt van, de a másikban lélekben már valahol egy napos tengerparton jár. </t>
  </si>
  <si>
    <t xml:space="preserve">Átváltozott alakban a karakter folyamatosan vakaródzni akar. Bolhás? Vagy allergiás magára? Egyre megy: ez megnehezíti mind a vadásztot, mind a menekülést. </t>
  </si>
  <si>
    <t>Olykor a hátránynak is lehet előnye.</t>
  </si>
  <si>
    <t xml:space="preserve">Túlságosan tart attól, hogy valami baj történik, ezért még véletlenül sem megy előre, egyedül legalábbis biztos nem. </t>
  </si>
  <si>
    <t>Védekezéskor akaraterő alapú próbáknál  a célszám nehézségétől függően szintenként 1 pont vonódik le dobás értékéből.</t>
  </si>
  <si>
    <t>Van egy kedvenc hordozóféléje. Más típusúval nem képes varázsolni, akármennyire is szeretne. Talán jobb is, ha eldobod azt a valamit.</t>
  </si>
  <si>
    <t>Csak egy bizonyos hordozótípus előnyeit veheti igénybe.</t>
  </si>
  <si>
    <t xml:space="preserve">Egy sérülés esetén sokkal lassabban gyógyulnak be a sebei, mint az átlagnak. Ami másnál három nap, az nála a duplája. </t>
  </si>
  <si>
    <t>Minden nem cselekvésből származó fáradáspont vesztésekor (legalább) a hátrány pontértékének megfelelő szinttel nehezített vadmágiapróbát (szint célszáma + Mágia - Akaraterő) kell dobni (Önuralom képzettséggel, születetteknek Tradícióval, likantrópoknak Likantrópiával). Sikertelenség esetén a karakter akkora értékű vadmágiát hajt végre, amennyi hiányzott volna a sikerhez, balsiker esetén pedig a próba értéke 0.</t>
  </si>
  <si>
    <t>A mentális és lelki betegség épp annyira megnyomoríthat egy embert, mint egy fizikai.</t>
  </si>
  <si>
    <t>Megadott körülmények létrejöttekor +D6 a mágikus próbákra. A pontértéket Mesélővel kell megválasztani.  Minél gyakoribb a körülmény, annál magasabb az előny pontszáma. 1 pontért csak akkor kedvez, ha van a környezetében piros ruhás nő, 4-ért azonban, ha lakott településen van.</t>
  </si>
  <si>
    <t>Semmiféle levonást nem kap a Reflexére. (Pl.: ha komponens nélkül varázsolnak rá, vagy épp hátulról támadják meg.)</t>
  </si>
  <si>
    <t>A játékos kiválaszthatja, hogy milyennek tűnik karaktere aurája. A védelem értéke 30-as célszámnak felel meg.</t>
  </si>
  <si>
    <t>Érzelmek kiszagolása - 2</t>
  </si>
  <si>
    <t>Fáradhatatlan - 2</t>
  </si>
  <si>
    <t>Fogékony - 2</t>
  </si>
  <si>
    <t>Fotomemória - 2</t>
  </si>
  <si>
    <t>Gének ereje - 2</t>
  </si>
  <si>
    <t>Gyors mozgás - 2</t>
  </si>
  <si>
    <t>Gyors reflexek - 2</t>
  </si>
  <si>
    <t>Hazai pálya - 2</t>
  </si>
  <si>
    <t>Híres - 2</t>
  </si>
  <si>
    <t>Igaz hit - 2</t>
  </si>
  <si>
    <t>Jóakaró - 2</t>
  </si>
  <si>
    <t>Kapcsolatok - 2</t>
  </si>
  <si>
    <t>Kitartó - 2</t>
  </si>
  <si>
    <t>Könnyű tanulás - 2</t>
  </si>
  <si>
    <t>Kritikus találat - 2</t>
  </si>
  <si>
    <t>Magas fájdalomküszöb  - 2</t>
  </si>
  <si>
    <t>Magas ingerküszöb - 2</t>
  </si>
  <si>
    <t>Mágiaimmunitás - 2</t>
  </si>
  <si>
    <t>Menedék - 2</t>
  </si>
  <si>
    <t>Méregellenálló - 2</t>
  </si>
  <si>
    <t>Motiváció - 2</t>
  </si>
  <si>
    <t>Nagy - 2</t>
  </si>
  <si>
    <t>Nyáj - 2</t>
  </si>
  <si>
    <t>Pihentető alvás - 2</t>
  </si>
  <si>
    <t>Fotomemória</t>
  </si>
  <si>
    <t>Gyermek</t>
  </si>
  <si>
    <t>Agresszió</t>
  </si>
  <si>
    <t xml:space="preserve">Szinte akárkit fel lehet dühíteni, s ilyenkor, még ha amúgy türelmes is, könnyebben veszti el a fejét. </t>
  </si>
  <si>
    <t>Igaz hit</t>
  </si>
  <si>
    <t xml:space="preserve">Kereszténység, Buddhizmus, netán zsidó vallás? Otthon van a témában, mitöbb: hisz is valamiféle felsőbb hatalom létezésében, s abban, hogy az oltalmat is nyújt, ha kell. Tudja, hogy Isten él - s ez az isten a segítségére van minden tettében. </t>
  </si>
  <si>
    <t>Könnyű sebek</t>
  </si>
  <si>
    <t>Sebző</t>
  </si>
  <si>
    <t>Amikor a vámpír fizikai fáradáspontból gyógyít magán, csak a visszahozni kívánt ÉP-k felét kell elköltenie.</t>
  </si>
  <si>
    <t>A lét csupán egy karcolás!</t>
  </si>
  <si>
    <t>Segítőtárs - 3</t>
  </si>
  <si>
    <t>Segítő körülmények - 3</t>
  </si>
  <si>
    <t>Pókerarc - 3</t>
  </si>
  <si>
    <t>Pihentető alvás - 3</t>
  </si>
  <si>
    <t>Nyáj - 3</t>
  </si>
  <si>
    <t>Nagy - 3</t>
  </si>
  <si>
    <t>Együttműködésre képtelen</t>
  </si>
  <si>
    <t>Segítő kéz</t>
  </si>
  <si>
    <t>Kontrollálatlan</t>
  </si>
  <si>
    <t>Bajtárs</t>
  </si>
  <si>
    <t>Bajtárs, Segítő kéz, Együttműködésre képtelen</t>
  </si>
  <si>
    <t>Bajtárs, Segítő kéz, Nehézkes segítő</t>
  </si>
  <si>
    <t>Nem tud segíteni másoknak képzettségpróbánál.</t>
  </si>
  <si>
    <t xml:space="preserve">Nem csapatjátékos, egyedül boldogul leginkább, mindig más tervei vannak, mint a többieknek. Ha mégsem, akkor sem képes összedolgozni velük. </t>
  </si>
  <si>
    <t>Megjegyzés</t>
  </si>
  <si>
    <t>1 pontért még csak nem ajánlatos az adott kör közelében tartózkodni, 4-ért már mindenért téged vesznek elő. A priusz hátrány többször is felvehető, azonban csak különböző személyekre/csoportokra. Az adott körre nem vehető fel kapcsolatok.</t>
  </si>
  <si>
    <t xml:space="preserve">Nem költhet felelőtlenül, jól meg kell gondolnia, hogy az olcsó vacakot, vagy a drága márkát veszi. </t>
  </si>
  <si>
    <t>1 pontért még csak a kuponokat gyűjti, 4-ért azonban már az utcán tengődik, és kéregetnie kell a mindennapi léthez. Bevétel és vagyon: 1: 0/-5, 2: -5/-50, 3:-50/-500, 4: -500/-5000 tallér (a negatív vagyon tartozást jelent.) Az szegénység értékét minden esetben a Mesélő határozza meg, egyéni elbírálás alapján.</t>
  </si>
  <si>
    <t xml:space="preserve">Születésétől fogva valami furcsát tapasztal: látja, pontosabban érzi, hogy az embereket különböző színes burkok veszik körül - s ezek a színek összefüggésben vannak az érzelmi változásokkal, vagy egészségi állapottal, sőt, még a mágiával is. </t>
  </si>
  <si>
    <t>Mással együtt akár még a lehetetlennel is megbirkózik. Pontosan tudja, hogy gyakran kérheti mások segítségét - ez vezethet el a végső győzelemhez.</t>
  </si>
  <si>
    <t xml:space="preserve"> Minden neki nyújtott segítség duplázódik.</t>
  </si>
  <si>
    <t xml:space="preserve">Lehet, hogy hamar kifárasztják, de valamivel több benne az energia, mint másokban. Hamar visszanyeri az erejét és a kitartását, hogy újabb kalandba keveredjen. </t>
  </si>
  <si>
    <t xml:space="preserve">Számára az átváltozás nem fájdalmas, és semmiféle levonást sem kap, amikor átalakul. </t>
  </si>
  <si>
    <t>Nem vonódik le a Fáradáspontot, és nem kap semmiféle nehezítést az átalakulást követő első öt percben.</t>
  </si>
  <si>
    <t>Akadnak olyanok, akik az első átváltozás után éppolyan erősek és gyorsan reagálnak, mint állatalakjukban.</t>
  </si>
  <si>
    <t xml:space="preserve">Könnyen kerül az ember olyan helyzetbe, amit nem lehet túlélni. Ő azonban majdhogynem olyan, mint egy macska - valahogy mindig sikerül megúsznia még az efféle halálos helyzeteket is. </t>
  </si>
  <si>
    <t>Ha a karakter végső halál állapotába kerülne, levonsz egy életet, és a Mesélő kiviszi a helyzetből. Háromszor használható. Jelöld a karakterlapodon, hogy hányadik "életednél" tartasz.</t>
  </si>
  <si>
    <t>Éjféli mise karácsonykor, vámpír, aki meggyónja bűneit. Szokatlan látvány, ám nem egyedülálló. Ám más előnye is van annak, ha egy vámpír tisztában van azzal, mi történik majd vele a végső halála után.</t>
  </si>
  <si>
    <t xml:space="preserve"> Nem hatnak ellene a szent szimbólumok, ereklyék és a szentelt víz sem.</t>
  </si>
  <si>
    <t>Vannak olyanok, akiknek van választása, hogy mikor engedi át a gyeplőt a Fenevadnak.</t>
  </si>
  <si>
    <t>A mágikus támadások érték*20%-al többet sebeznek a karakteren.</t>
  </si>
  <si>
    <t xml:space="preserve">A határ a csillagos ég! Persze, csak éppen kell hozzá egy kis gyakorlás, no meg előtanulmány. Főleg neki. </t>
  </si>
  <si>
    <t>Értékenként 5%-al kevesebb tapasztalati pontot kap.</t>
  </si>
  <si>
    <t xml:space="preserve">Magában elvan, de közösségben? Kiállni bárki elé, vagy megszólalni? Előbb bújik el a sarokba, mintsem megtegye, és nem is hiszi el, hogy képes lehet rá. </t>
  </si>
  <si>
    <t>Találkozáspróba esetén értéknyi hatost kell dobni ahhoz, hogy speciális nem játékos karakterek is legyenek a közeledben.</t>
  </si>
  <si>
    <t>Amennyiben a karakter 1900 előtt született, ajánlott a Látható kor használata, mivel az Excel nem kezeli egységesen a dátumokat</t>
  </si>
  <si>
    <t>Az aktuális tulajdonságértékek külön felvezethetők, használatukkor az oszlop "aktív" sorába egy x-et kell írni</t>
  </si>
  <si>
    <t>A többi cellába nem szabad írni</t>
  </si>
  <si>
    <t>A kitöltésben föntről lefele érdemes haladni, vagyis először a kort, tulajdonságpontokat és előny-hátrányokat érdemes meghatározni, és csak ezután a képzettségeket</t>
  </si>
  <si>
    <t>A tulajdonságok minimum értéke 3 (kivéve mágia), a maximum 20</t>
  </si>
  <si>
    <t>A képzettségek alapértékének maximuma 20</t>
  </si>
  <si>
    <t>A szeme alakja… vagy talán a szája? Nemnem… minden egyben úgy általában… olyan… karizmatikus jelenség.</t>
  </si>
  <si>
    <t>Minek állítana be órát, amikor pontosan tudja, hány perc alatt fő meg a tojás? Minek neki naptár, ha tudja, mikor jön fel a Hold és mennyire van telve?</t>
  </si>
  <si>
    <t>Csak elnéző mosollyal figyeli, ahogy mások ügyetlenkednek varázsláskor. Neki nincsenek ilyen problémái, mindent pontosan begyakorolt, s ha újat tanul, akkor is könnyedén, balsiker nélkül veszi az akadályokat.</t>
  </si>
  <si>
    <t>Az ízeknek az évek során egyre több variációja akadhat… kár volna kihagyni akár egyet is.</t>
  </si>
  <si>
    <t>Úgy született, hogy látja a mágikus tárgyak körüli izzást, észleli a pálcából kicsapó furcsa szálakat, és idővel képes is lesz majd felismerni, hogy melyik fajta hová tartozik. Látja, pontosabban egyszerűen érzi a varázslatok manaszálát.</t>
  </si>
  <si>
    <t xml:space="preserve">Mindig is kiválóbb volt, mint mások. Mindegy, hogy miben: erősebb, ügyesebb, okosabb, de akár mindez egyszerre. Ahogy idősödik, ez mindinkább kikristályosodik: Így lesz a rút kiskacsából meseszép hattyú. </t>
  </si>
  <si>
    <t>Van olyan trauma az életben, ami előhozza a lappangó képességeket.</t>
  </si>
  <si>
    <r>
      <t xml:space="preserve">Két óránként kap vissza Fáradáspontot. </t>
    </r>
    <r>
      <rPr>
        <i/>
        <sz val="11"/>
        <color indexed="8"/>
        <rFont val="Calibri"/>
        <family val="2"/>
        <charset val="238"/>
      </rPr>
      <t>Vámpírok nem rendelkezhetnek ezzel a hátránnyal.</t>
    </r>
  </si>
  <si>
    <r>
      <t xml:space="preserve">A karakter egyetlen elemi genotípussal rendelkezik. </t>
    </r>
    <r>
      <rPr>
        <i/>
        <sz val="11"/>
        <color indexed="8"/>
        <rFont val="Calibri"/>
        <family val="2"/>
        <charset val="238"/>
      </rPr>
      <t>Ezt a hátrányt nem vehetik fel született mágusok.</t>
    </r>
    <r>
      <rPr>
        <sz val="11"/>
        <color indexed="8"/>
        <rFont val="Calibri"/>
        <family val="2"/>
        <charset val="238"/>
      </rPr>
      <t xml:space="preserve"> (Gének gyengesége hátránnyal kombinálva a megmaradt genotípussal ellentétes elemű varázslatok kétszer nehezebbek, semleges genotípus esetén pedig választani kell egyet, melyet fel kell jegyezni a karakter megalkotásakor.)</t>
    </r>
  </si>
  <si>
    <r>
      <t xml:space="preserve">Bárki, aki látja a karaktert egyik alakjában, a másikban is fel fogja ismerni. </t>
    </r>
    <r>
      <rPr>
        <i/>
        <sz val="11"/>
        <rFont val="Calibri"/>
        <family val="2"/>
        <charset val="238"/>
      </rPr>
      <t>Mágus csak akkor veheti fel ezt a hátrányt, ha abeomágus.</t>
    </r>
  </si>
  <si>
    <t xml:space="preserve">Óránként kétszer annyi fáradáspontot nyer vissza. (Vámpírrá vált karakternek le kell cserélnie.) </t>
  </si>
  <si>
    <t>7.4</t>
  </si>
  <si>
    <t>Energikus - 3 pont, néhány E-H koncepcionálisan is felvehető</t>
  </si>
  <si>
    <t>Előadóművészet -</t>
  </si>
  <si>
    <t>Az előnyöket és hátrányokat csak a megfelelő karakterekhez lehet felvenni. Talanok csak a talan jelölésűt, mágusok csak a mágust, és így tovább. A koncepcionális előnyöket és hátrányokat a korábbi oszlopban meghatározottak vehetik fel koncepcionális helyre is. (Varázstalan hátrány esetén a továbbiakban nem vehetők fel mágus-koncepcionális előnyök-hátrányok, Mágus előny esetén azonban már igen)</t>
  </si>
  <si>
    <t>Előnyök-hátrányok</t>
  </si>
  <si>
    <t>Sport</t>
  </si>
  <si>
    <t>Futball</t>
  </si>
  <si>
    <t>Labdarúgás</t>
  </si>
  <si>
    <t>Asztalitenisz</t>
  </si>
  <si>
    <t>Atlétika</t>
  </si>
  <si>
    <t>Baseball</t>
  </si>
  <si>
    <t>Búvárkodás</t>
  </si>
  <si>
    <t>Curling</t>
  </si>
  <si>
    <t>Golf</t>
  </si>
  <si>
    <t>Korcsolya</t>
  </si>
  <si>
    <t>Hegymászás</t>
  </si>
  <si>
    <t>Jégkorong</t>
  </si>
  <si>
    <t>Kerékpársport</t>
  </si>
  <si>
    <t>Kosárlabda</t>
  </si>
  <si>
    <t>Krikett</t>
  </si>
  <si>
    <t>Sí</t>
  </si>
  <si>
    <t>Gimnasztika</t>
  </si>
  <si>
    <t>Röplabda</t>
  </si>
  <si>
    <t>Szörf</t>
  </si>
  <si>
    <t>Futás</t>
  </si>
  <si>
    <t>Teke</t>
  </si>
  <si>
    <t>Tenisz</t>
  </si>
  <si>
    <t>Tollas</t>
  </si>
  <si>
    <t>Torna</t>
  </si>
  <si>
    <t>Úszás</t>
  </si>
  <si>
    <t>Vízilabda</t>
  </si>
  <si>
    <t>Zene</t>
  </si>
  <si>
    <t>Szerencsés, Gondos varázsló, Gondatlan varázsló, Üres lap</t>
  </si>
  <si>
    <t>Kifinomult ösztön</t>
  </si>
  <si>
    <t>Vadállat</t>
  </si>
  <si>
    <t>Paralízis</t>
  </si>
  <si>
    <t>Harci láz</t>
  </si>
  <si>
    <t>Színvak</t>
  </si>
  <si>
    <t>Türelmetlen</t>
  </si>
  <si>
    <t>Türelmes</t>
  </si>
  <si>
    <t>Vadon hívó szava</t>
  </si>
  <si>
    <t>Védelmi reakció</t>
  </si>
  <si>
    <t>Vérkövetelő</t>
  </si>
  <si>
    <t>Tápláló vér</t>
  </si>
  <si>
    <t>Ami a csövön kifér</t>
  </si>
  <si>
    <t>Bal lábbal</t>
  </si>
  <si>
    <t>Hűbéres</t>
  </si>
  <si>
    <t>Csak egy bizonyos vámpír vére felel meg számodra. Ha vére elapad, a karakter ezen hátránya egy négy pontos beteges mánia vagy fóbia lesz.</t>
  </si>
  <si>
    <t>Pacifista</t>
  </si>
  <si>
    <t>Gyenge találat, Kritikus találat</t>
  </si>
  <si>
    <t>Rémálmok</t>
  </si>
  <si>
    <t>Név</t>
  </si>
  <si>
    <t>Kor</t>
  </si>
  <si>
    <t>Született</t>
  </si>
  <si>
    <t>Foglalkozás</t>
  </si>
  <si>
    <t>Háttér</t>
  </si>
  <si>
    <t>Genotípus</t>
  </si>
  <si>
    <t>Anyanyelv</t>
  </si>
  <si>
    <t xml:space="preserve">Szőkék, szépek, likantrópok, csak férfiak.. fix az áldozat séma. Másból is tud ugyan inni, de egyszerűen pocséknak találja. </t>
  </si>
  <si>
    <t>Feleződik a nem kedvező áldozatból kinyert fáradáspont. Értéke az áldozatok gyakoriságának függvénye.</t>
  </si>
  <si>
    <t xml:space="preserve">Tudja, hogy mások mindenféle fókuszeszközt (pálca, gyűrű, bot, stb.) használnak a varázsláshoz. Neki erre nincs szüksége, elég, ha kimondja az igét, és a varázslat létrejön. </t>
  </si>
  <si>
    <t>Fókuszeszköz elhagyása esetén sem kap semmiféle nehezítést.</t>
  </si>
  <si>
    <t xml:space="preserve">Kiáll az emberek elé, és megmondja, hogy mit csináljanak és hogyan, ráadásként mindig rátapint a lényegre. Tudja, kit kell megkérni, milyen munkára, és a döntései is jók. Van érzéke a jól szervezett munka irányításához. </t>
  </si>
  <si>
    <t>Szociális képzettségekhez (Kereskedelem, Szexuális kultúra, Csábítás, Színészet, Szónoklás, Csalás, Megfélemlítés, Meggyőzés, Vallatás, Diplomácia)+D6 járul.</t>
  </si>
  <si>
    <t xml:space="preserve">Mindig tudja hogy mire hogyan reagáljon, általában talpraesettebb a többieknél. </t>
  </si>
  <si>
    <t>Gyakorlati típusú szakértelmek fejlesztése eggyel kisebb szorzóval történik.</t>
  </si>
  <si>
    <t xml:space="preserve">Már kiskorában is felnőttekkel társalgott? Hamarabb fejlődik, mint a többiek, előbb nő be a feje lágya? </t>
  </si>
  <si>
    <t>A tulajdonság táblázat két évvel korábbra csúsztatva használható. Húsz éves korban azonban ez az előny megszűnik, hátrányok kiváltása vagy további koncepcionális előnyök felvétele lehetséges a fennmaradó pontokból.</t>
  </si>
  <si>
    <t xml:space="preserve">Bármi, amihez az eszét kell használni, valahogy könnyebb feladat. Lehet, hogy nem fut gyorsan, és nem erős, de az biztos, hogy az agymunkában ő a legjobb. </t>
  </si>
  <si>
    <t>Mozgása akár egy macskáé. Különösen jól teljesít minden feladatban, ahol az ügyességére van szükség.</t>
  </si>
  <si>
    <t xml:space="preserve"> Minden Ügyesség alapú képzettségpróbához +D6-tal dobhatsz, kivéve a Nyelveket.</t>
  </si>
  <si>
    <t>Hagyománytisztelő - 3</t>
  </si>
  <si>
    <t>Haragos - 3</t>
  </si>
  <si>
    <t>Hátráltató körülmények - 3</t>
  </si>
  <si>
    <t>Hátulütő - 3</t>
  </si>
  <si>
    <t>Helyzetfüggő - 3</t>
  </si>
  <si>
    <t>Vendigó - 3</t>
  </si>
  <si>
    <t>Válogatós vadász - 3</t>
  </si>
  <si>
    <t>Territórium - 3</t>
  </si>
  <si>
    <t>Taszító - 3</t>
  </si>
  <si>
    <t>Született bestia - 3</t>
  </si>
  <si>
    <t>Szubmisszív - 3</t>
  </si>
  <si>
    <t>Szegény - 3</t>
  </si>
  <si>
    <t>Sebesült - 3</t>
  </si>
  <si>
    <t>Priusz - 3</t>
  </si>
  <si>
    <t>Piperkőc - 3</t>
  </si>
  <si>
    <t>Önbizalomhiány - 3</t>
  </si>
  <si>
    <t>Fókuszeszközök</t>
  </si>
  <si>
    <t>Egy karakter egy fókuszeszközt tarthat magánál ami nem számít bele a varázstárgylimitbe. Különben a fókuszeszköz szintje a foglalat és a bázis szintjének összege. Nem mágus karakterek is hordhatnak maguknál fókuszeszközt.</t>
  </si>
  <si>
    <t>Jelenleg a Fókuszeszközök nem adódnak hozzá a karakterlap értékeihez. A különleges képességeket érdemes feljegyezni.</t>
  </si>
  <si>
    <t>Aurában a Mentálmágiához +2 járul</t>
  </si>
  <si>
    <t>Aurában az Észlelés alapú képzettségekhz + d6 járul</t>
  </si>
  <si>
    <t>Aurában a Fizikum alapú képzettségekhez +d6 járul</t>
  </si>
  <si>
    <t>Aurában a Megjelenés alapú képzettségekhez +d6 járul</t>
  </si>
  <si>
    <t>Füstkvarc</t>
  </si>
  <si>
    <t>Aurán belül óránként 1 FP-t ad</t>
  </si>
  <si>
    <t>Gipsz</t>
  </si>
  <si>
    <t xml:space="preserve">Az életút játék során a használt képzettségeket érdemes megjelölni a "Használt" oszlopban, a következő kalandig külön egyeztetés nélkül ezek fejleszthetőek </t>
  </si>
  <si>
    <t>Szeret villogni azzal, hogy nem egészen ember. Nem is esik túlságosan nehezére… Egy kis fogvillogtatás itt, erőfitogtatás ott…</t>
  </si>
  <si>
    <t>Exhibicionista</t>
  </si>
  <si>
    <t>Jellegzetes</t>
  </si>
  <si>
    <t>Üres lap</t>
  </si>
  <si>
    <t>Gondos varázsló, Szerencsés, Szerencsések előnye, Joker, Gondatlan varázsló, Szerencsétlen</t>
  </si>
  <si>
    <t>Vak szerencse</t>
  </si>
  <si>
    <t>Ha Szerencsés mellé van felvéve, az alapkockánál az ötös dobásnál is hozzá lehet adni még egy kockát az eredményhez.</t>
  </si>
  <si>
    <t>Képzettségpróbáknál a hatos dobást újra lehet dobni.</t>
  </si>
  <si>
    <t xml:space="preserve">Ha a dolgok a szerencsén múlnak, biztosra veheti, hogy élvezni fogja Fortuna kegyeit. Gyakran éppen ezért, ha valami jól sikerül, túlszárnyalja a többieket. </t>
  </si>
  <si>
    <t>Minden nem cselekvésből származó fáradáspont vesztésekor ugyanannyi életerőt is elveszít.</t>
  </si>
  <si>
    <t>Ijedős</t>
  </si>
  <si>
    <t>Nála nem csak üres fecsegés, mikor egy nagyobb sokk után úgy érzi, majd kiugrik a szíve.</t>
  </si>
  <si>
    <t>Elszánt</t>
  </si>
  <si>
    <t>Fenevad a tükörben</t>
  </si>
  <si>
    <t xml:space="preserve">Vannak olyanok, akik nem szívesen néznek tükörbe, ők ugyanis látják magukat teljes, igazi valójukban. </t>
  </si>
  <si>
    <t>Fertőző</t>
  </si>
  <si>
    <t>A mérgező hatásból levonódik az előny értéke*20%.</t>
  </si>
  <si>
    <t>A Fájdalom 72 órája</t>
  </si>
  <si>
    <t xml:space="preserve">Lehet, tudna varázsolni, de nem erőlködik nagyon, mert fájdalmas élményben van része minen alkalommal. </t>
  </si>
  <si>
    <t>Beazonosítható</t>
  </si>
  <si>
    <t xml:space="preserve">Van valami jellegzetes rajta, ami miatt bárki könnyedén felismerheti - ez elsősorban a látható dolgokra vonatkozik, de lehetséges, hogy a karakter hangja, mozdulatai annyira egyediek, hogy bárki ráismer ezek miatt. </t>
  </si>
  <si>
    <t>Állatias tulajdonságokat vesz fel (megváltozik a szeme színe, megnő a termete, morgás szabadul fel a torkából), ha mérges, vagy ha stresszhelyzetbe kerül. Helyzettől függő nehézségű Önuralom próbával lehet védekezeni ellene.</t>
  </si>
  <si>
    <t>Bágyadt</t>
  </si>
  <si>
    <t>Energikus</t>
  </si>
  <si>
    <t xml:space="preserve">Emberi kötelék </t>
  </si>
  <si>
    <t>Emberiség, Született Bestia, Részleges átalakulás</t>
  </si>
  <si>
    <t>Gyakorlati elme</t>
  </si>
  <si>
    <t>Tudós</t>
  </si>
  <si>
    <t>Gyerekes</t>
  </si>
  <si>
    <t>Koravén</t>
  </si>
  <si>
    <t>Gyermektelen</t>
  </si>
  <si>
    <t>A vére nem olyan erős, mint a többi vámpíré, így sem "utódot", sem szervienst nem képes létrehozni illetve táplálni.</t>
  </si>
  <si>
    <t>Körülményes</t>
  </si>
  <si>
    <t>Gyakorlatias</t>
  </si>
  <si>
    <t>Mélyalvó</t>
  </si>
  <si>
    <t>Hazai pálya</t>
  </si>
  <si>
    <t>Híres</t>
  </si>
  <si>
    <t>Jóakaró</t>
  </si>
  <si>
    <t>Kapcsolatok</t>
  </si>
  <si>
    <t>Kicsi/Nagy</t>
  </si>
  <si>
    <t>Egy/Három geno</t>
  </si>
  <si>
    <t>Labilis/Stabil</t>
  </si>
  <si>
    <t>szűzkéz</t>
  </si>
  <si>
    <t>Született bestia</t>
  </si>
  <si>
    <t>Emberiség</t>
  </si>
  <si>
    <t xml:space="preserve">Ez az emberiség hívó szava. </t>
  </si>
  <si>
    <t xml:space="preserve">Sokkal jobban kedveli a bundát az emberbőrnél - nehezebben is helyezkedik vissza a "szürke hétköznapokba". </t>
  </si>
  <si>
    <t>A visszaváltozása mindig a hátrány pontértékének megfelelő szinttel nehezebb. Teleholdak estéjén a visszaváltozás órákhoz kötött nehézségét a hátrány értékének kétszeresével tolja el a táblázatban.</t>
  </si>
  <si>
    <t>Túlélő</t>
  </si>
  <si>
    <t xml:space="preserve">Igazi túlélő. Más szinte azonnal kidől, ha jobban megsérül, ő azonban meg sem rezzenve folytatja a harcot. </t>
  </si>
  <si>
    <t>Amnézia</t>
  </si>
  <si>
    <t>Fizikai betegség</t>
  </si>
  <si>
    <t>Mentális betegség</t>
  </si>
  <si>
    <t>Van egy betegség, ami rányomta az életére a pecsétet.</t>
  </si>
  <si>
    <t>Hátrányos</t>
  </si>
  <si>
    <t>Előnyös</t>
  </si>
  <si>
    <t>A karakterlapon +1 hátrányhelyet használhat.</t>
  </si>
  <si>
    <t>Mágikus tudományok</t>
  </si>
  <si>
    <t>Ez olyan mint a szégyenlősség, vagy a lámpaláz. Csak egy bizonyos, előre meghatározott helyzetben tud táplálkozni.</t>
  </si>
  <si>
    <t>Egy dolog, hogy pontosan tudja, hol vehet szöveg és kalapácst, ha kell, de azzal is tisztában van, hogy melyik kis utcán érdemes elmenekülnie.</t>
  </si>
  <si>
    <t>Értéknek megfelelő pontot kell szétosztani a kapcsolati táblázat szerint, melyet fel kell tüntetni a karakterlapon. 1: 13, 2: 16, 3: 19, 4: 22. A jóakaró előny többször is felvehető, azonban csak különböző személyekre/csoportokra. Ugynanazon személyekre nem vehető fel a haragos.</t>
  </si>
  <si>
    <t xml:space="preserve">Van egy személy vagy csoport, aki segít neki, ha elakad a tanulásban, a kutakodásban vagy a munkában. Ő az, akihez bármikor bizalommal fordulhat, soha nem kaphat tőle visszautasítást. </t>
  </si>
  <si>
    <t>Rendelkezik egy bizonyos körben való kapcsolattal, így aztán könnyen jut onnan információhoz. Ez lehet például hivatali, rendőri, esetleg alvilági.</t>
  </si>
  <si>
    <t>Ez a típusú ember megy olyan munkára, ami állandó stresszt okoz.</t>
  </si>
  <si>
    <t>Az előny értékétől függ, mennyi NJK áll a karakter rendelkezésére, aki szíves-örömest ad a véréből. Egy NJK-t hetente kétszer lehet emiatt felkeresni (az ő egészsége érdekében). 1: 2, 2: 4, 3: 8, 4: 16.  Válogatós vadász hátrány esetén a hátrány értékének a kétszeresét vonja le a nyájból.</t>
  </si>
  <si>
    <t>Ha ellene használják Érzelmek kiszagolása vagy az Empátia nevű előnyöket, érték*2 pontot kell hozzászámítani a célzott tulajdonsághoz (Érzelmek kiszagolása esetén az akaraterőhöz, Empátia esetén az intelligenciához). Az egyéb próbálkozások, melyek arra irányulnak, hogy kiderítsék az érzelmeit, értéknyi szinttel nehezebbek.</t>
  </si>
  <si>
    <t>Egy bizonyos segítőtárs minden segítsége az eredeti pontszám felével adódik hozzá. (Viszont a fáradás a rendes szabályok alapján történik.) A változó érték a társ elérhetőségét határozza meg, például 4 pontot ér az azonos partiban résztvevő játékos karaktere.</t>
  </si>
  <si>
    <t>A legtöbb dolgot igazából Vele a legjobb csinálni.</t>
  </si>
  <si>
    <t>"Jaj ne… már megint jöhet a tűzförgeteg…"</t>
  </si>
  <si>
    <t>Szeret nyelveket tanulni, csak éppen nem megy. Pár szót, kifejezést persze még el tud sajátítani, de hogy az miért is van pontosan úgy, ahogy…</t>
  </si>
  <si>
    <t>Néha az az érzése, hogy jobb lenne, ha egy "biohazard" jelzéssel a homlokán sétálna.</t>
  </si>
  <si>
    <t>Nem lehet mindenkinek utóda…</t>
  </si>
  <si>
    <t>Ha mágiáról van szó, egy kicsit… nos… túlpörög.</t>
  </si>
  <si>
    <t>A makacs ragaszkodásnak ára van.</t>
  </si>
  <si>
    <t>Ő a jellegzetes harapásnyom okozója.</t>
  </si>
  <si>
    <t>Soha ne nézz horrorfilmet. Veled is megtörténhet.</t>
  </si>
  <si>
    <t>Bármit megtesz érte, akármit, legyen az valóság, vagy csupán egy káprázat, délibáb…</t>
  </si>
  <si>
    <t>Nem tud túl sokáig koncentrálni.</t>
  </si>
  <si>
    <t>Komoly késztetés, egy kényszer, hogy minden helyzetben a maximumot hozzuk ki magunkból. Adott helyzetben ez súlyosan hátráltat és lefáraszt…</t>
  </si>
  <si>
    <t>Mintha szándékosan kerülnék őt.</t>
  </si>
  <si>
    <t>A Bestia szabadon engedése intim dolog.</t>
  </si>
  <si>
    <t>Senki sem lehet tökéletes. Hogy így született-e, vagy valami baleset történt vele... Talán nem tud lábra állni, talán nem látja a színeket..</t>
  </si>
  <si>
    <t xml:space="preserve"> 1 pontért a színeket, de négy pontért már a tüdejét veszti el, hogy csak a mágia, vagy gépek tartsák életben. Ki kell választani egy tulajdonságot, amire a fogyatékosság vonatkozik. Minden tulajdonságalapú képzettséghasználat a hátrány szintjének megfelelő fáradásponttal több. Két tulajdonságra is fel lehet venni, ekkor a fogyatékosság arányában megoszlik a levonás.</t>
  </si>
  <si>
    <t xml:space="preserve">Csak egyféle fókusz jó, legyen az pálca vagy a tízemeletes Buddha szobor. </t>
  </si>
  <si>
    <t xml:space="preserve">A hátrány értékét a fókuszeszköz ritkasága és használhatósága határozza meg. Amennyiben nem áll rendelkezésre az adott típus, úgy szintnek megfelelően nehezebbek a varázslatpróbák. </t>
  </si>
  <si>
    <t xml:space="preserve">A gének mindent elárulnak. Azt is, hogy miben jó illetve, hogy miben rossz valaki.. </t>
  </si>
  <si>
    <t xml:space="preserve">Minden olyan varázslat, melynek típusa ellentétes a karakter valamelyik genotípusával érték*2 nehezítést kap az adott varázslatpróbához. Egyező genotípusok esetén kétszer kapja meg, semleges genotípus esetén pedig választani kell egyet, melyet fel kell jegyezni a karakter megalkotásakor. </t>
  </si>
  <si>
    <t>Amikor cselekvés miatt veszít a karakter Fáradáspontot, annak értéke feleződik. 2 pontért az egyik, 4 pontért mindkét fáradáspontra vonatkozik ez.</t>
  </si>
  <si>
    <t>A legtöbb ragadozó szagok alapján tájékozódik: tudja, ki fél, ki örül, ki erős, ki gyönge.</t>
  </si>
  <si>
    <t>A nem mágikus próbák az adott körülmény fennálltakor egy szinttel nehezebbek.</t>
  </si>
  <si>
    <t>Mit</t>
  </si>
  <si>
    <t>Járművek</t>
  </si>
  <si>
    <t>lovaskocsi</t>
  </si>
  <si>
    <t>szán</t>
  </si>
  <si>
    <t>személygépkocsi</t>
  </si>
  <si>
    <t>tehergépkocsi</t>
  </si>
  <si>
    <t>autóbusz</t>
  </si>
  <si>
    <t>Legyen az egy kellemetlen izomgörcs, kis fejfájás, de varázsláskor sebződik, a vrázslás szintje*2 ÉP-t. Ha már az életerejéből varázsolna, nem sebződik a hátrány miatt.</t>
  </si>
  <si>
    <t>15 éves vagy fiatalabb volt a karakter, mikor halhatatlanná tették. Tulajdonságai max értéke csak a saját korának megfelelő + 2 lehet.</t>
  </si>
  <si>
    <t>Hiába a többszáz év, ha nem veszik komolyan, kinevetnek a biztonsági őrök, és csak gyereknek nézik a talanok.</t>
  </si>
  <si>
    <t>Állatnak lenni roppant kimerítő, a sok szaladgálás, üldözés után a legjobb egy kiadósat pihenni.</t>
  </si>
  <si>
    <t>Hogy kicsoda ő, honnan jött, nem tudja. Új családja kedves, de mintha nem ők lennének az igaziak.</t>
  </si>
  <si>
    <t>Fájdalom nélkül</t>
  </si>
  <si>
    <t>Fenevad ereje</t>
  </si>
  <si>
    <t>Három élet</t>
  </si>
  <si>
    <t>Hívő</t>
  </si>
  <si>
    <t>Holdállástól függetlenül</t>
  </si>
  <si>
    <t>Jobb lábbal</t>
  </si>
  <si>
    <t>Joker</t>
  </si>
  <si>
    <t>Jóstehetség</t>
  </si>
  <si>
    <t>Kiváló tulajdonságok</t>
  </si>
  <si>
    <t>Mágialátó</t>
  </si>
  <si>
    <t>Ősmágia</t>
  </si>
  <si>
    <t>Regenerálódás</t>
  </si>
  <si>
    <t>Változékony</t>
  </si>
  <si>
    <t>A jövő ígérete I</t>
  </si>
  <si>
    <t>A jövő ígérete II</t>
  </si>
  <si>
    <t>A nemző öröksége</t>
  </si>
  <si>
    <t>Érték*3 nem mágikus képzettségből lehet választani, amihez +d6 jár.</t>
  </si>
  <si>
    <t>Érték*2 mágikus képzettséghez +d6 jár.</t>
  </si>
  <si>
    <t>A jövő hiánya I</t>
  </si>
  <si>
    <t>Bolhás</t>
  </si>
  <si>
    <t>Egysíkú</t>
  </si>
  <si>
    <t>Játék</t>
  </si>
  <si>
    <t>kártyajáték</t>
  </si>
  <si>
    <t>labdajáték</t>
  </si>
  <si>
    <t>memóriajáték</t>
  </si>
  <si>
    <t>szerepjáték</t>
  </si>
  <si>
    <t>táblajáték</t>
  </si>
  <si>
    <t>ügyesség alapú szerencsejáték</t>
  </si>
  <si>
    <t>Rúnatan</t>
  </si>
  <si>
    <t>Varázstárgyismeret</t>
  </si>
  <si>
    <t>Démonológia</t>
  </si>
  <si>
    <t>Síkelmélet</t>
  </si>
  <si>
    <t>Pedagógiai ismeretek</t>
  </si>
  <si>
    <t>Mágiaelmélet</t>
  </si>
  <si>
    <t>Drágakőismeret</t>
  </si>
  <si>
    <t>Komponensismeret</t>
  </si>
  <si>
    <t>Azon előnyök és hátrányok, melyek képzettségeket nehezítenek vagy könnyítenek valamilyen módon, mindig a teljes képzettségre vonatkoznak, tehát az összes alképzettségre is értendőek</t>
  </si>
  <si>
    <t>Azon képzettségekhez, melyeknek neve mögött egy - áll, alképzettséget kell választani. (Például: Zene - Zongora) Ezen képzettségekből több is felvehető, ekkor manuálisan lejjebb érdemes tenni a többi képzettséget (ctrl+x és +v), majd a kívánt képzettség teljes sorát bemásolni a megüresedett hely(ek)re</t>
  </si>
  <si>
    <t>Képzés a középiskoláig</t>
  </si>
  <si>
    <t>7.6</t>
  </si>
  <si>
    <t>Senki sem segíthet változó egyetlen társ helyett / Vésztartalék előny</t>
  </si>
  <si>
    <t>Hátránypontonként eggyel kevesebb főtől tudsz segítséget elfogadni a próbákhoz: 1 pontért - 3 fő, 2 - 2, 3 - 1, 4 - 0.</t>
  </si>
  <si>
    <t>Vésztartalék</t>
  </si>
  <si>
    <t>Ha elfogy valamelyik fáradáspont típus, életerő helyett lehet a másik fáradáspont típust alkalmazni.</t>
  </si>
  <si>
    <t>Mikor más kidől, neki akkor jön még csak a félidő.</t>
  </si>
  <si>
    <t>Senki sem segíthet - 1</t>
  </si>
  <si>
    <t>Senki sem segíthet - 2</t>
  </si>
  <si>
    <t>Senki sem segíthet - 3</t>
  </si>
  <si>
    <t>Senki sem segíthet - 4</t>
  </si>
  <si>
    <t>11-25 év</t>
  </si>
  <si>
    <t>26-50 év</t>
  </si>
  <si>
    <t>51-100 év</t>
  </si>
  <si>
    <t>101 év fölött</t>
  </si>
  <si>
    <t>Halhatatlanok számára</t>
  </si>
  <si>
    <t>Minden esetben Mesélői jóváhagyás szükséges a kiosztott tapasztalati pontokra</t>
  </si>
  <si>
    <t>Amikor egy képzettségpróbát teszel, csak azért kell dobni, hogy szükséges-e balsikerpróba, egyébként a kockadobás eredménye kettő. Amennyiben többel is kellene, csak az első kocka eredménye ennyi.</t>
  </si>
  <si>
    <t>7.7</t>
  </si>
  <si>
    <t>Fiz</t>
  </si>
  <si>
    <t>Ügy</t>
  </si>
  <si>
    <t>Int</t>
  </si>
  <si>
    <t>Aka</t>
  </si>
  <si>
    <t>Mág</t>
  </si>
  <si>
    <t>Észl</t>
  </si>
  <si>
    <t>Megj</t>
  </si>
  <si>
    <t>Üres lap - balsikerpróbához kötve, nyomtatható fül javítása (93%)</t>
  </si>
  <si>
    <t>Ezen verzió az Excel 2007-es verziójához készült, ismert hiba, hogy az OpenOffice-szal nem működnek a színmódosítások, ezen azonban a programkülönbségek miatt nem tudunk változtatni.</t>
  </si>
  <si>
    <t>Állatalakban minden próba szintje a hátrány értékével megfelelően nehezebb lesz.</t>
  </si>
  <si>
    <t>Vámpírharapás esetén ugyanannyi ÉP-t le kell vonni, mint amennyi FFP-t.</t>
  </si>
  <si>
    <t>Hiába van meg a ragadozó próba, harapása fájdalmas. FFP levonás mellett ugyanannyi ÉP-t is sebez az áldozaton.</t>
  </si>
  <si>
    <t>Minden a karakterről készült képen és tükrözésdben szörnyet lát az éjlény. A likantrópok egy marni készülő állatot, a vámpírok és szerviensek saját magukat látják, annyi idősen, amilyen a valódi koruk. Más nem látja ezt az eltorzulást, őt azonban egy idő után az őrületbe kergetheti.</t>
  </si>
  <si>
    <t>A telehold 97%-tól érvényesül a szokásos 99% helyett. Ennek átlagos időtartama 3-4 nap az 1-2 helyet, ebben az időszakban a mentális fáradáspontok maximális értéke 50%, az azt megelőző és követő három napban pedig 75%.</t>
  </si>
  <si>
    <t>Minden segítségnyújtásnál 1 ponttal kevesebbet segíthet, és eggyel több fáradáspontot kell levonnia.</t>
  </si>
  <si>
    <t>2 pontért: Harci helyzetben nem lehet a kezdeményezést passzolni, és az első cselekedet teljes erőbedobással és fáradással fog történni. 4 pontért a 2 pontos hátrány mellett továbbá harci helyzetben saját cselekvéskor (nem reflexként) csak támadni vagy erősíteni lehet egy leendő támadás hatásfokát.</t>
  </si>
  <si>
    <t>Csak teleholdanként képes átalakulni. Ha mégis átalakul, biztos, hogy őrjöng.</t>
  </si>
  <si>
    <t>Saját sebesüléseit sem tudja Fáradáspontból visszagyógyítani.</t>
  </si>
  <si>
    <t>Az likantrópia képzettséget nem tudja használni, így fejleszteni sem tudja.</t>
  </si>
  <si>
    <t>Dühítő, bosszantó vagy éppen harci helyzetben érték*szint célszámú önuralompróbát kell megdobni, különben a karakter elveszti a fejét (az éjlény karakterek őrjöngenek), célja a lehető legnagyobb fizikai pusztítást véghez vinni, ami teljes erőbedobással fog történni. (pusztakezes harc vagy a nem precíziós, felkapható eszközökkel való rombolás).</t>
  </si>
  <si>
    <t>A karakter Előtörténetét a Mesélő találja ki. A hátrány értéke attól függ, eddigi élete mekkora százalékát felejtette el. 1: &gt;10% 2: &gt;25% 3: &gt;50% 4: &gt;75%. Az idő előrehaladtával koncepcionális hátrányra lecserélhető.</t>
  </si>
  <si>
    <t>Jellegzetes a szaga, talan kivételével mindenki érzi mi is valójában, és a talan is tudja, hogy valami nincs rendben, ha az észlelése: 1: 15 vagy a fölött, 2: 13, 3: 11, 4: 9.</t>
  </si>
  <si>
    <t>Az allergia hátrány a légzési és/vagy bőrrel érintkező allergénekre vonatkozik. Szintjét a Mesélőnek jóvá kell hagynia, a karakterre vonatkozó gyakoriság kapcsán. (pl: a tengervízre való allergia kis hazánkban nem jelenthet 4 pontos hátrányt.) Az amúgy nem olyan gyakori dolgok is csoportosíthatóak egy hátrányba, ha amúgy 1 pontosnak minősülne, 2 pontos hátrányhoz 3 allergénre van szükség, 3 pontoshoz 5-re, 4 pontoshoz 7-re. Az allergiás reakciók lehetnek különbözőek, de amíg az allergiás reakció fenáll minden próba az allergia szintjének megfelelően nehezedik. (7 1 pontos értékű hátrány esetén is 4 szinttel nehezítve).</t>
  </si>
  <si>
    <t>Minden karakter ellen irányuló felismerés próba érték*szinttel könnyebb. Likantrópoknál és abeomágusoknál ez az állati alakra is vonatkozik, még ha nem is lehet összefüggést találni a kettő között.</t>
  </si>
  <si>
    <t>Minden egyes felvett hátránypontént -5 Fizikai fáradáspont jár.</t>
  </si>
  <si>
    <t>Választani kell egy memóriatípust, és annak az elemeit nem bírja megjegyezni. Érték*szinttel magasabb az adott témakörben a felismerés próba.</t>
  </si>
  <si>
    <t>1 pontért csak egy kisebb közösségben, 4-ért azonban már a fél (mondhatni egész) világban számít utálatosnak a karaktered. Értéknek megfelelő pontot kell szétosztani a kapcsolati táblázat szerint, melyet fel kell tüntetni a karakterlapon. 1: 13, 2: 16, 3: 19, 4: 22.</t>
  </si>
  <si>
    <t>A mérgek mérgező hatása érték*20%-al nagyobb. (Minden kémiai szerre, alkoholra is)</t>
  </si>
  <si>
    <t>A körülmények nem feltétlenül a tisztaságra kell, hogy vonatkozzanak, lehet bármilyen, Mesélővel egyeztetett helyzet, melyből kilépve a karakter percenként (harci helyzetben körönként) szintnek megfelelő mentális fáradáspontot veszít.</t>
  </si>
  <si>
    <t>Egyszer egy kalandmodul során szólhatsz a Mesélőnek, hogy segítséget kérj egy elakadt helyzetben.</t>
  </si>
  <si>
    <t>Induláskor értéknyivel több, szabadon választott nyelvismeretet kap meg anyanyelvi, vagyis 10-es alapértéken.</t>
  </si>
  <si>
    <t>Minden látó- és hallótávolságban lévő örjöngő likantrópot képes irányítani. Az őrjöngő likantrópok irányítása a Likantrópia képzettséggel történik, a kiadott utasítás nehézségének értékének megfelelően. (Mentálmágiához hasonlóan)</t>
  </si>
  <si>
    <t>Látja mások auráját, így tudja, ha valaki beteg, mérges, vagy jókedvű - netalán vámpír, vagy vérfarkas. Még a született típusokat is észleli. Ha nem is látja, akkor is érzi a közelében állókat, tíz méteres körben és látótávolságban. (Az aurát ellene 25-ös célszámmal lehet levédeni)</t>
  </si>
  <si>
    <t>Naponta legalább egy jóslatot kap a karakter, és a jóslás képzettséget eggyel könnyebb fejleszteni (talannak az ezotéria tudományát).</t>
  </si>
  <si>
    <t>Ha nem is látja, akkor is érzi a közelében aktív mágiát, tíz méteres körben és látótávolságban, de azt nem tudja állapítani, hogy pontosan milyen típusú varázslatról van szó. Amikor fókusztárgy, vagy ige nélkül varázsolnak rá, semmilyen levonás nem érvényesül. (A mágiát ellene 25-ös célszámmal lehet levédeni)</t>
  </si>
  <si>
    <t>A karakteren nincs jól megkülönböztetheő jellgezetesség, vagy ha mégis, az könnyen feledhető. Minden ellene irányuló felismerés próba érték*szint nehezebb.</t>
  </si>
  <si>
    <t>Eme képességgel rendelkező felismeri szagról a speciális hátterű karaktereket. Vámpíroknál/Szervienseknél: 1 vámpírokat/szervienseket, 2 likantrópokat, 3 mágusokat, 4 született mágusokat és szervieneket,  Likantrópnál: 1 likantrópokat, 2 vámpírokat/szervienseket, 3 mágusokat, 4 született mágusokat (A kilétet ellene 30-as célszámmal lehet levédeni)</t>
  </si>
  <si>
    <t xml:space="preserve">Választott éjlénykörökben bónuszt kap a szociális próbákra. (Kereskedelem, Szexuális kultúra, Csábítás, Színészet, Szónoklás, Csalás, Megfélemlítés, Meggyőzés, Vallatás, Diplomácia) 1: egy szabadon választott körre +D6, 2: két szabadon választott körre +D6, 3: minden éjlény ellen +D6, 4: minden éjlényre +2D6-ot. </t>
  </si>
  <si>
    <t>Híg vér (csak ellentétes fáradáspontokra vehető fel)</t>
  </si>
  <si>
    <t>Az előny felvételekor egyeztetni kell a Mesélőkkel, hogy milyen típusú dolgokra emlékszik kiválóan a karakter, és azokat milyen könnyen idézi vissza. (Minél több típust képes megjegyezni, annál kisebb a szint, amit felismerés/felidézés próbára kap, és min 1 max 4 szint kedvezményt lehet adni a felismeréspróbákhoz tudatos észlelés esetén.</t>
  </si>
  <si>
    <t>Meghatározott nagyságú területen a karakter sokkalta otthonosabban mozog, mint másutt. Az Intelligenciát kivéve két tulajdonság 4 ponttal megnő. Így 18 fölé is mehet az érték, 20 fölé azonban nem. Például 1: lakóhely közvetlen környéke  _x000D_
2: egy nagyobb utca  _x000D_
3: kisebb település, vagy kerület  
4: max. főváros</t>
  </si>
  <si>
    <t>Pl: Anyagi háttér esetén a vagyon lopott, priuszos a Jóakaró, vagy Empátiánál a karakter túlérzékeny. Ez lehet több előny kisebb-nagyobb hátulütője. Erre a hátrányra nem vehető fel Előny.</t>
  </si>
  <si>
    <t xml:space="preserve">A teliholdközeli napokban sem csökken le annyirra a maximális Fáradáspontok száma, értékenként 5%-al több marad. </t>
  </si>
  <si>
    <t>A fókuszeszköz ölthet bármilyen Mesélővel egyeztetett formát. A foglalat és bázis maximális szintje 2-2 lehet.</t>
  </si>
  <si>
    <t>7.8</t>
  </si>
  <si>
    <t>Nyomtatható karakterlap 100%-ra javítva, 0 margóval</t>
  </si>
  <si>
    <t xml:space="preserve">Nehezebb megszokni, mint a "rendes" bundát, vagyis állatalakban minden képzettség érték*szinttel nehezebb. Továbbá mivel rendes állatalakkal rendelkezik a karakter, csak annyira képes az eszközhasználatra, amennyire az állat is.
</t>
  </si>
  <si>
    <t>Ez a hátrány kifejezetten emésztési problémákra utal, függetlenül annak eredetétől, így az alapja lehet ételallergia, de pszichés tényező is (pl: nem megfelelő tálalás) és egyéb emésztési gondok is. A probléma fennáltakor karakter percenként, harci helyzetben körönként sebződik a hátrány értékével megegyezően, amit gyomormosással vagy mérgek semlegesítésével enyhíthető. 1 pontért csupán eltologatja a mócsingot, de 4-ért talán már állati terméket sem fogyaszt.</t>
  </si>
  <si>
    <t>Etikett</t>
  </si>
  <si>
    <t>Felismerés</t>
  </si>
  <si>
    <t>Sikeres reflexpróba esetén nem csak védekezésre használhatja a fázist, ekkor azonban mindenképpen teljesül az, ami ellen védekezhetett volna. Az ellenfél abban az esetben védekezhet, ha maradt elegendő reflexpontja, így azonban már semmiképpen sem támadhat.</t>
  </si>
  <si>
    <t>Minden támadásának érték*2 ponttal nehezedik a Reagálási módosítója, vagyis az ellenfelek nehezebben reagálhatnak.</t>
  </si>
  <si>
    <t xml:space="preserve">A karakter minden támadásának érték*2 ponttal könnyebb lesz a reagálási módosítója. </t>
  </si>
  <si>
    <t>Mesélői egyeztetés szükséges</t>
  </si>
  <si>
    <t>A hátrány értékének megfelelő számú mágikus képzettséget vagy jártasságot a karakter képtelen fejleszteni. Ha mégis használni akarná valamelyiket, akkor csak a módosítókból meglévő szintre képes, és balsiker próbát kell dobni rá (melynek értéke nem adódik a próbához). [Tradíció képzettsége csak születettmágusoknak van!]</t>
  </si>
  <si>
    <t>-</t>
  </si>
  <si>
    <t>=</t>
  </si>
  <si>
    <t>Megjegyzések</t>
  </si>
  <si>
    <t>Vakmerő - 2</t>
  </si>
  <si>
    <t>Vakmerő - 4</t>
  </si>
  <si>
    <t>Állatalak - 4</t>
  </si>
  <si>
    <t>Állatalak - 1</t>
  </si>
  <si>
    <t>Állatalak - 2</t>
  </si>
  <si>
    <t>Állatalak - 3</t>
  </si>
  <si>
    <t xml:space="preserve">A nyelv képzettség használatához szükséges az adott nyelvhez tartozó legalább 1-es alapérték. </t>
  </si>
  <si>
    <t>A nyelvek csoportjaik szerint eléggé hasonlítanak ahhoz, hogy a segítés szabályai szerint mégis meg lehessen próbálkozni a használatukkal.</t>
  </si>
  <si>
    <t>http://mek.oszk.hu/00000/00056/html/211.htm</t>
  </si>
  <si>
    <t>Előnyök/hátrányok frissítése, új képzettségek: gasztronómia helyett etikett és felismerés képzettség</t>
  </si>
  <si>
    <t>Introvertált</t>
  </si>
  <si>
    <t>Minden szociális képzettség használatakor annak FP költsége duplázódik.</t>
  </si>
  <si>
    <t>Én.. Hát.. Mindegy.</t>
  </si>
  <si>
    <t>Extrovertált</t>
  </si>
  <si>
    <t>ú</t>
  </si>
  <si>
    <t>Minden szociális képzettség használatakor annak FP költsége feleződik.</t>
  </si>
  <si>
    <t>Gyerünk, menjünk, csináljuk, jó lesz!</t>
  </si>
  <si>
    <t>Ide kerülhet néhány sor a karakter előtörténetéről</t>
  </si>
  <si>
    <t>A felszereléslista is megjeleníthető a nyomtatható karakterlapon</t>
  </si>
  <si>
    <t>Leghátul megjelent egy fül, amin a nyomtatható karakterlap további mezői szerkeszthetőek</t>
  </si>
  <si>
    <t>Két anyanyelv - 1</t>
  </si>
  <si>
    <t>Két anyanyelv - 2</t>
  </si>
  <si>
    <t>Két anyanyelv - 3</t>
  </si>
  <si>
    <t>Két anyanyelv - 4</t>
  </si>
  <si>
    <t>Az emberek minden itt eltöltött órában +1 mentális pontot kapnak vissza, a vámpírok pedig itt nem veszítik el az óránként kötelező fizikai fáradáspontot. A menedék nagyságát az előnypontok határozzák meg. 1: egy szoba, 2: egy otthon, 3: nagyobb ház vagy háztömb, 4: utca, kisebb környék, esetleg park.</t>
  </si>
  <si>
    <t xml:space="preserve">Ember: Napi első ébredéskor dobni kell egy kockával, ha az eredmény egy, csak egy másik ember keltheti fel az alvót. Kettőre a következő 24 órára óránként mentális fáradáspontot veszít, három esetén az ébren töltött időben a karakter az álom hatása miatt egy 2-es paranoiával küzd. Vámpír: Ébredéskor dobni kell egy kockával, ha az eredmény egy, a vámpírt csak a friss vér keltheti fel álmából, kettő esetén naplementétől napkeltéig két fáradáspontot veszít óránként, míg hármas esetén az ébren töltött időben a karakter az álom hatása miatt egy 2-es paranoiával küzd az éjjel folyamán. </t>
  </si>
  <si>
    <t>bázisfüggő új hátrány</t>
  </si>
  <si>
    <t>Zsana új hátránya - balszerencse</t>
  </si>
  <si>
    <t>7.9</t>
  </si>
  <si>
    <t>Bugfix</t>
  </si>
  <si>
    <t>2022.07.31</t>
  </si>
  <si>
    <t>verzió: 7.93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</si>
</sst>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 &quot;Ft&quot;_-;\-* #,##0.00\ &quot;Ft&quot;_-;_-* &quot;-&quot;??\ &quot;Ft&quot;_-;_-@_-"/>
  </numFmts>
  <fonts count="30" x14ac:knownFonts="1">
    <font>
      <sz val="11"/>
      <color theme="1"/>
      <name val="Calibri"/>
      <family val="2"/>
      <charset val="238"/>
      <scheme val="minor"/>
    </font>
    <font>
      <sz val="11"/>
      <color indexed="8"/>
      <name val="Calibri"/>
      <family val="2"/>
      <charset val="238"/>
    </font>
    <font>
      <sz val="11"/>
      <color indexed="8"/>
      <name val="Calibri"/>
      <family val="2"/>
      <charset val="238"/>
    </font>
    <font>
      <b/>
      <sz val="11"/>
      <color indexed="9"/>
      <name val="Calibri"/>
      <family val="2"/>
      <charset val="238"/>
    </font>
    <font>
      <b/>
      <sz val="11"/>
      <color indexed="8"/>
      <name val="Calibri"/>
      <family val="2"/>
      <charset val="238"/>
    </font>
    <font>
      <sz val="11"/>
      <color indexed="9"/>
      <name val="Calibri"/>
      <family val="2"/>
      <charset val="238"/>
    </font>
    <font>
      <sz val="8"/>
      <name val="Calibri"/>
      <family val="2"/>
      <charset val="238"/>
    </font>
    <font>
      <sz val="11"/>
      <name val="Calibri"/>
      <family val="2"/>
      <charset val="238"/>
    </font>
    <font>
      <sz val="11"/>
      <color indexed="8"/>
      <name val="Calibri"/>
      <family val="2"/>
      <charset val="238"/>
    </font>
    <font>
      <i/>
      <sz val="11"/>
      <color indexed="8"/>
      <name val="Calibri"/>
      <family val="2"/>
      <charset val="238"/>
    </font>
    <font>
      <sz val="11"/>
      <color indexed="8"/>
      <name val="Calibri"/>
      <family val="2"/>
      <charset val="238"/>
    </font>
    <font>
      <sz val="11"/>
      <color indexed="57"/>
      <name val="Calibri"/>
      <family val="2"/>
      <charset val="238"/>
    </font>
    <font>
      <sz val="11"/>
      <color indexed="8"/>
      <name val="Calibri"/>
      <family val="2"/>
      <charset val="238"/>
    </font>
    <font>
      <sz val="11"/>
      <color indexed="8"/>
      <name val="Calibri"/>
      <family val="2"/>
      <charset val="238"/>
    </font>
    <font>
      <sz val="10"/>
      <color indexed="57"/>
      <name val="Arial"/>
      <family val="2"/>
      <charset val="238"/>
    </font>
    <font>
      <sz val="10"/>
      <name val="Arial"/>
      <family val="2"/>
      <charset val="238"/>
    </font>
    <font>
      <sz val="11"/>
      <color indexed="18"/>
      <name val="Calibri"/>
      <family val="2"/>
      <charset val="238"/>
    </font>
    <font>
      <sz val="11"/>
      <color indexed="55"/>
      <name val="Calibri"/>
      <family val="2"/>
      <charset val="238"/>
    </font>
    <font>
      <sz val="11"/>
      <color indexed="8"/>
      <name val="Colourbars"/>
    </font>
    <font>
      <sz val="11"/>
      <color indexed="8"/>
      <name val="Goodfish"/>
      <charset val="238"/>
    </font>
    <font>
      <sz val="11"/>
      <color indexed="8"/>
      <name val="Colourbars"/>
    </font>
    <font>
      <b/>
      <sz val="11"/>
      <name val="Calibri"/>
      <family val="2"/>
      <charset val="238"/>
    </font>
    <font>
      <b/>
      <i/>
      <sz val="11"/>
      <color indexed="8"/>
      <name val="Calibri"/>
      <family val="2"/>
      <charset val="238"/>
    </font>
    <font>
      <u/>
      <sz val="11"/>
      <color indexed="12"/>
      <name val="Calibri"/>
      <family val="2"/>
      <charset val="238"/>
    </font>
    <font>
      <i/>
      <sz val="11"/>
      <name val="Calibri"/>
      <family val="2"/>
      <charset val="238"/>
    </font>
    <font>
      <sz val="10"/>
      <color indexed="57"/>
      <name val="Arial"/>
      <family val="2"/>
      <charset val="238"/>
    </font>
    <font>
      <b/>
      <sz val="11"/>
      <color theme="0"/>
      <name val="Calibri"/>
      <family val="2"/>
      <charset val="238"/>
      <scheme val="minor"/>
    </font>
    <font>
      <sz val="11"/>
      <color theme="1"/>
      <name val="Calibri"/>
      <family val="2"/>
      <charset val="238"/>
    </font>
    <font>
      <b/>
      <sz val="11"/>
      <color theme="1"/>
      <name val="Calibri"/>
      <family val="2"/>
      <charset val="238"/>
      <scheme val="minor"/>
    </font>
    <font>
      <sz val="10"/>
      <color theme="1"/>
      <name val="Goodfish"/>
      <charset val="238"/>
    </font>
  </fonts>
  <fills count="9">
    <fill>
      <patternFill patternType="none"/>
    </fill>
    <fill>
      <patternFill patternType="gray125"/>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50"/>
        <bgColor indexed="64"/>
      </patternFill>
    </fill>
    <fill>
      <patternFill patternType="solid">
        <fgColor indexed="18"/>
        <bgColor indexed="64"/>
      </patternFill>
    </fill>
    <fill>
      <patternFill patternType="solid">
        <fgColor rgb="FF000099"/>
        <bgColor indexed="64"/>
      </patternFill>
    </fill>
    <fill>
      <patternFill patternType="solid">
        <fgColor rgb="FFFFFF99"/>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diagonal/>
    </border>
    <border>
      <left/>
      <right/>
      <top/>
      <bottom style="medium">
        <color indexed="64"/>
      </bottom>
      <diagonal/>
    </border>
    <border>
      <left/>
      <right/>
      <top style="medium">
        <color indexed="64"/>
      </top>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thin">
        <color indexed="64"/>
      </left>
      <right style="medium">
        <color indexed="64"/>
      </right>
      <top/>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bottom style="thin">
        <color indexed="64"/>
      </bottom>
      <diagonal/>
    </border>
    <border>
      <left/>
      <right/>
      <top/>
      <bottom style="dotted">
        <color indexed="64"/>
      </bottom>
      <diagonal/>
    </border>
    <border>
      <left style="thin">
        <color indexed="64"/>
      </left>
      <right/>
      <top/>
      <bottom/>
      <diagonal/>
    </border>
    <border>
      <left style="thin">
        <color indexed="64"/>
      </left>
      <right/>
      <top/>
      <bottom style="thin">
        <color indexed="64"/>
      </bottom>
      <diagonal/>
    </border>
    <border>
      <left style="thin">
        <color indexed="64"/>
      </left>
      <right/>
      <top/>
      <bottom style="dotted">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ashed">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4">
    <xf numFmtId="0" fontId="0" fillId="0" borderId="0"/>
    <xf numFmtId="0" fontId="23" fillId="0" borderId="0" applyNumberFormat="0" applyFill="0" applyBorder="0" applyAlignment="0" applyProtection="0">
      <alignment vertical="top"/>
      <protection locked="0"/>
    </xf>
    <xf numFmtId="0" fontId="2" fillId="0" borderId="0"/>
    <xf numFmtId="164" fontId="15" fillId="0" borderId="0" applyFont="0" applyFill="0" applyBorder="0" applyAlignment="0" applyProtection="0"/>
  </cellStyleXfs>
  <cellXfs count="280">
    <xf numFmtId="0" fontId="0" fillId="0" borderId="0" xfId="0"/>
    <xf numFmtId="0" fontId="7" fillId="0" borderId="0" xfId="0" applyFont="1" applyAlignment="1">
      <alignment wrapText="1"/>
    </xf>
    <xf numFmtId="0" fontId="2" fillId="0" borderId="0" xfId="0" applyFont="1" applyAlignment="1">
      <alignment wrapText="1"/>
    </xf>
    <xf numFmtId="0" fontId="8" fillId="0" borderId="0" xfId="0" applyNumberFormat="1" applyFont="1" applyAlignment="1">
      <alignment wrapText="1"/>
    </xf>
    <xf numFmtId="0" fontId="8" fillId="0" borderId="0" xfId="0" applyFont="1" applyAlignment="1">
      <alignment wrapText="1"/>
    </xf>
    <xf numFmtId="0" fontId="7" fillId="0" borderId="0" xfId="0" applyNumberFormat="1" applyFont="1" applyAlignment="1">
      <alignment wrapText="1"/>
    </xf>
    <xf numFmtId="0" fontId="8" fillId="0" borderId="0" xfId="0" applyFont="1"/>
    <xf numFmtId="0" fontId="9" fillId="0" borderId="0" xfId="0" applyFont="1" applyAlignment="1">
      <alignment wrapText="1"/>
    </xf>
    <xf numFmtId="0" fontId="10" fillId="0" borderId="0" xfId="0" applyFont="1" applyAlignment="1">
      <alignment wrapText="1"/>
    </xf>
    <xf numFmtId="0" fontId="11" fillId="0" borderId="0" xfId="0" applyFont="1" applyAlignment="1">
      <alignment wrapText="1"/>
    </xf>
    <xf numFmtId="0" fontId="12" fillId="0" borderId="0" xfId="0" applyFont="1"/>
    <xf numFmtId="0" fontId="12" fillId="0" borderId="0" xfId="0" applyFont="1" applyAlignment="1">
      <alignment wrapText="1"/>
    </xf>
    <xf numFmtId="0" fontId="11" fillId="0" borderId="0" xfId="0" applyFont="1"/>
    <xf numFmtId="0" fontId="7" fillId="0" borderId="0" xfId="0" applyFont="1"/>
    <xf numFmtId="0" fontId="12" fillId="2" borderId="0" xfId="0" applyFont="1" applyFill="1"/>
    <xf numFmtId="0" fontId="12" fillId="2" borderId="0" xfId="0" applyFont="1" applyFill="1" applyAlignment="1">
      <alignment wrapText="1"/>
    </xf>
    <xf numFmtId="0" fontId="12" fillId="3" borderId="0" xfId="0" applyFont="1" applyFill="1"/>
    <xf numFmtId="0" fontId="8" fillId="2" borderId="0" xfId="0" applyFont="1" applyFill="1" applyAlignment="1">
      <alignment wrapText="1"/>
    </xf>
    <xf numFmtId="0" fontId="10" fillId="2" borderId="0" xfId="0" applyFont="1" applyFill="1" applyAlignment="1">
      <alignment wrapText="1"/>
    </xf>
    <xf numFmtId="0" fontId="7" fillId="2" borderId="0" xfId="0" applyFont="1" applyFill="1"/>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NumberFormat="1" applyBorder="1" applyAlignment="1">
      <alignment horizontal="right"/>
    </xf>
    <xf numFmtId="0" fontId="0" fillId="0" borderId="11" xfId="0" applyNumberFormat="1" applyBorder="1"/>
    <xf numFmtId="0" fontId="0" fillId="0" borderId="10" xfId="0" applyBorder="1"/>
    <xf numFmtId="0" fontId="0" fillId="0" borderId="11" xfId="0" applyBorder="1"/>
    <xf numFmtId="0" fontId="0" fillId="0" borderId="0" xfId="0" applyBorder="1"/>
    <xf numFmtId="0" fontId="0" fillId="0" borderId="12" xfId="0" applyBorder="1"/>
    <xf numFmtId="0" fontId="0" fillId="0" borderId="13" xfId="0" applyBorder="1"/>
    <xf numFmtId="0" fontId="0" fillId="0" borderId="12" xfId="0" applyNumberFormat="1" applyBorder="1" applyAlignment="1">
      <alignment horizontal="right"/>
    </xf>
    <xf numFmtId="0" fontId="0" fillId="0" borderId="13" xfId="0" applyNumberFormat="1" applyBorder="1"/>
    <xf numFmtId="0" fontId="0" fillId="0" borderId="0" xfId="0" applyNumberFormat="1" applyBorder="1" applyAlignment="1">
      <alignment horizontal="right"/>
    </xf>
    <xf numFmtId="0" fontId="0" fillId="0" borderId="0" xfId="0" applyNumberFormat="1" applyBorder="1"/>
    <xf numFmtId="1" fontId="0" fillId="0" borderId="10" xfId="0" applyNumberFormat="1" applyBorder="1"/>
    <xf numFmtId="1" fontId="0" fillId="0" borderId="0" xfId="0" applyNumberFormat="1" applyBorder="1"/>
    <xf numFmtId="1" fontId="0" fillId="0" borderId="11" xfId="0" applyNumberFormat="1" applyBorder="1"/>
    <xf numFmtId="1" fontId="0" fillId="0" borderId="8" xfId="0" applyNumberFormat="1" applyBorder="1"/>
    <xf numFmtId="1" fontId="0" fillId="0" borderId="13" xfId="0" applyNumberFormat="1" applyBorder="1"/>
    <xf numFmtId="0" fontId="0" fillId="0" borderId="14" xfId="0" applyBorder="1"/>
    <xf numFmtId="0" fontId="0" fillId="0" borderId="15" xfId="0" applyBorder="1"/>
    <xf numFmtId="1" fontId="0" fillId="0" borderId="16" xfId="0" applyNumberFormat="1" applyFill="1" applyBorder="1"/>
    <xf numFmtId="0" fontId="0" fillId="0" borderId="16" xfId="0" applyBorder="1"/>
    <xf numFmtId="0" fontId="0" fillId="0" borderId="17" xfId="0" applyBorder="1"/>
    <xf numFmtId="0" fontId="0" fillId="0" borderId="18" xfId="0" applyBorder="1"/>
    <xf numFmtId="0" fontId="0" fillId="0" borderId="0" xfId="0" applyFill="1" applyBorder="1"/>
    <xf numFmtId="1" fontId="0" fillId="0" borderId="0" xfId="0" applyNumberFormat="1" applyFill="1" applyBorder="1"/>
    <xf numFmtId="0" fontId="0" fillId="0" borderId="0" xfId="0" applyFill="1"/>
    <xf numFmtId="0" fontId="2" fillId="0" borderId="0" xfId="0" applyFont="1" applyFill="1" applyAlignment="1">
      <alignment wrapText="1"/>
    </xf>
    <xf numFmtId="0" fontId="12" fillId="0" borderId="0" xfId="0" applyFont="1" applyFill="1"/>
    <xf numFmtId="0" fontId="8" fillId="0" borderId="0" xfId="0" applyFont="1" applyFill="1" applyAlignment="1">
      <alignment wrapText="1"/>
    </xf>
    <xf numFmtId="0" fontId="12" fillId="0" borderId="0" xfId="0" applyFont="1" applyFill="1" applyAlignment="1">
      <alignment wrapText="1"/>
    </xf>
    <xf numFmtId="0" fontId="10" fillId="0" borderId="0" xfId="0" applyFont="1" applyFill="1" applyAlignment="1">
      <alignment wrapText="1"/>
    </xf>
    <xf numFmtId="0" fontId="7" fillId="0" borderId="0" xfId="0" applyFont="1" applyFill="1"/>
    <xf numFmtId="1" fontId="0" fillId="0" borderId="10" xfId="0" applyNumberFormat="1" applyFill="1" applyBorder="1"/>
    <xf numFmtId="1" fontId="0" fillId="0" borderId="12" xfId="0" applyNumberFormat="1" applyFill="1" applyBorder="1"/>
    <xf numFmtId="1" fontId="0" fillId="0" borderId="8" xfId="0" applyNumberFormat="1" applyFill="1" applyBorder="1"/>
    <xf numFmtId="0" fontId="0" fillId="0" borderId="3" xfId="0" applyFill="1" applyBorder="1"/>
    <xf numFmtId="0" fontId="0" fillId="0" borderId="2" xfId="0" applyFill="1" applyBorder="1"/>
    <xf numFmtId="0" fontId="0" fillId="0" borderId="6" xfId="0" applyFill="1" applyBorder="1"/>
    <xf numFmtId="0" fontId="0" fillId="0" borderId="10" xfId="0" applyFill="1" applyBorder="1"/>
    <xf numFmtId="1" fontId="0" fillId="0" borderId="15" xfId="0" applyNumberFormat="1" applyBorder="1"/>
    <xf numFmtId="1" fontId="0" fillId="0" borderId="17" xfId="0" applyNumberFormat="1" applyBorder="1"/>
    <xf numFmtId="0" fontId="0" fillId="0" borderId="19" xfId="0" applyFill="1" applyBorder="1"/>
    <xf numFmtId="0" fontId="0" fillId="0" borderId="4" xfId="0" applyNumberFormat="1" applyBorder="1" applyAlignment="1">
      <alignment horizontal="right"/>
    </xf>
    <xf numFmtId="0" fontId="0" fillId="0" borderId="20" xfId="0" applyBorder="1"/>
    <xf numFmtId="0" fontId="0" fillId="0" borderId="20" xfId="0" applyFill="1" applyBorder="1"/>
    <xf numFmtId="49" fontId="0" fillId="0" borderId="0" xfId="0" applyNumberFormat="1"/>
    <xf numFmtId="0" fontId="0" fillId="0" borderId="21" xfId="0" applyBorder="1"/>
    <xf numFmtId="0" fontId="0" fillId="0" borderId="21" xfId="0" applyFill="1" applyBorder="1"/>
    <xf numFmtId="0" fontId="12" fillId="0" borderId="0" xfId="0" applyNumberFormat="1" applyFont="1" applyAlignment="1">
      <alignment wrapText="1"/>
    </xf>
    <xf numFmtId="0" fontId="13" fillId="0" borderId="0" xfId="0" applyFont="1"/>
    <xf numFmtId="0" fontId="0" fillId="4" borderId="0" xfId="0" applyFill="1"/>
    <xf numFmtId="0" fontId="0" fillId="4" borderId="20" xfId="0" applyFill="1" applyBorder="1"/>
    <xf numFmtId="0" fontId="0" fillId="0" borderId="22" xfId="0" applyBorder="1"/>
    <xf numFmtId="0" fontId="0" fillId="0" borderId="23" xfId="0" applyBorder="1"/>
    <xf numFmtId="0" fontId="0" fillId="0" borderId="24" xfId="0" applyBorder="1"/>
    <xf numFmtId="0" fontId="5" fillId="0" borderId="0" xfId="0" applyFont="1"/>
    <xf numFmtId="0" fontId="0" fillId="0" borderId="0" xfId="0" applyAlignment="1">
      <alignment horizontal="center"/>
    </xf>
    <xf numFmtId="0" fontId="0" fillId="4" borderId="21" xfId="0" applyFill="1" applyBorder="1"/>
    <xf numFmtId="0" fontId="0" fillId="3" borderId="0" xfId="0" applyFill="1"/>
    <xf numFmtId="0" fontId="0" fillId="3" borderId="20" xfId="0" applyFill="1" applyBorder="1"/>
    <xf numFmtId="0" fontId="0" fillId="3" borderId="25" xfId="0" applyFill="1" applyBorder="1"/>
    <xf numFmtId="0" fontId="0" fillId="0" borderId="26" xfId="0" applyBorder="1"/>
    <xf numFmtId="0" fontId="0" fillId="0" borderId="27" xfId="0" applyBorder="1"/>
    <xf numFmtId="0" fontId="0" fillId="0" borderId="28" xfId="0" applyBorder="1"/>
    <xf numFmtId="0" fontId="0" fillId="2" borderId="22" xfId="0" applyFill="1" applyBorder="1"/>
    <xf numFmtId="0" fontId="0" fillId="2" borderId="0" xfId="0" applyFill="1" applyBorder="1"/>
    <xf numFmtId="0" fontId="0" fillId="0" borderId="25" xfId="0" applyBorder="1"/>
    <xf numFmtId="0" fontId="0" fillId="2" borderId="23" xfId="0" applyFill="1" applyBorder="1"/>
    <xf numFmtId="0" fontId="0" fillId="2" borderId="20" xfId="0" applyFill="1" applyBorder="1"/>
    <xf numFmtId="0" fontId="0" fillId="3" borderId="27" xfId="0" applyFill="1" applyBorder="1"/>
    <xf numFmtId="0" fontId="5" fillId="0" borderId="0" xfId="0" applyFont="1" applyFill="1" applyBorder="1"/>
    <xf numFmtId="0" fontId="5" fillId="0" borderId="0" xfId="0" applyFont="1" applyBorder="1"/>
    <xf numFmtId="0" fontId="5" fillId="0" borderId="20" xfId="0" applyFont="1" applyBorder="1"/>
    <xf numFmtId="9" fontId="5" fillId="0" borderId="0" xfId="0" applyNumberFormat="1" applyFont="1" applyBorder="1"/>
    <xf numFmtId="1" fontId="5" fillId="0" borderId="20" xfId="0" applyNumberFormat="1" applyFont="1" applyBorder="1"/>
    <xf numFmtId="1" fontId="0" fillId="0" borderId="28" xfId="0" applyNumberFormat="1" applyBorder="1"/>
    <xf numFmtId="1" fontId="0" fillId="0" borderId="25" xfId="0" applyNumberFormat="1" applyBorder="1"/>
    <xf numFmtId="0" fontId="0" fillId="5" borderId="28" xfId="0" applyFill="1" applyBorder="1"/>
    <xf numFmtId="14" fontId="0" fillId="5" borderId="4" xfId="0" applyNumberFormat="1" applyFill="1" applyBorder="1"/>
    <xf numFmtId="0" fontId="0" fillId="5" borderId="4" xfId="0" applyFill="1" applyBorder="1"/>
    <xf numFmtId="0" fontId="0" fillId="2" borderId="4" xfId="0" applyFill="1" applyBorder="1"/>
    <xf numFmtId="0" fontId="14" fillId="0" borderId="0" xfId="0" applyFont="1"/>
    <xf numFmtId="0" fontId="4" fillId="0" borderId="0" xfId="2" applyFont="1" applyAlignment="1">
      <alignment wrapText="1"/>
    </xf>
    <xf numFmtId="0" fontId="11" fillId="0" borderId="0" xfId="2" applyFont="1"/>
    <xf numFmtId="0" fontId="2" fillId="0" borderId="0" xfId="2" applyFont="1"/>
    <xf numFmtId="0" fontId="7" fillId="0" borderId="0" xfId="2" applyFont="1" applyAlignment="1">
      <alignment wrapText="1"/>
    </xf>
    <xf numFmtId="0" fontId="2" fillId="0" borderId="0" xfId="2" applyFont="1" applyAlignment="1">
      <alignment wrapText="1"/>
    </xf>
    <xf numFmtId="0" fontId="11" fillId="0" borderId="0" xfId="2" applyFont="1" applyAlignment="1">
      <alignment wrapText="1"/>
    </xf>
    <xf numFmtId="0" fontId="7" fillId="0" borderId="0" xfId="2" applyNumberFormat="1" applyFont="1" applyAlignment="1">
      <alignment wrapText="1"/>
    </xf>
    <xf numFmtId="0" fontId="9" fillId="0" borderId="0" xfId="2" applyFont="1" applyAlignment="1">
      <alignment wrapText="1"/>
    </xf>
    <xf numFmtId="0" fontId="7" fillId="0" borderId="0" xfId="0" applyFont="1" applyFill="1" applyBorder="1" applyAlignment="1">
      <alignment horizontal="left"/>
    </xf>
    <xf numFmtId="0" fontId="7" fillId="0" borderId="0" xfId="0" applyNumberFormat="1" applyFont="1" applyFill="1" applyBorder="1" applyAlignment="1">
      <alignment horizontal="left" wrapText="1"/>
    </xf>
    <xf numFmtId="0" fontId="7" fillId="0" borderId="0" xfId="0" applyFont="1" applyFill="1" applyBorder="1" applyAlignment="1">
      <alignment horizontal="left" wrapText="1"/>
    </xf>
    <xf numFmtId="0" fontId="11" fillId="0" borderId="0" xfId="0" applyFont="1" applyFill="1" applyBorder="1" applyAlignment="1">
      <alignment horizontal="left"/>
    </xf>
    <xf numFmtId="0" fontId="5" fillId="0" borderId="0" xfId="0" applyNumberFormat="1" applyFont="1"/>
    <xf numFmtId="0" fontId="5" fillId="6" borderId="22" xfId="0" applyFont="1" applyFill="1" applyBorder="1"/>
    <xf numFmtId="0" fontId="5" fillId="6" borderId="0" xfId="0" applyFont="1" applyFill="1" applyBorder="1"/>
    <xf numFmtId="0" fontId="5" fillId="6" borderId="4" xfId="0" applyFont="1" applyFill="1" applyBorder="1"/>
    <xf numFmtId="0" fontId="5" fillId="6" borderId="26" xfId="0" applyFont="1" applyFill="1" applyBorder="1"/>
    <xf numFmtId="0" fontId="5" fillId="6" borderId="27" xfId="0" applyFont="1" applyFill="1" applyBorder="1"/>
    <xf numFmtId="0" fontId="5" fillId="6" borderId="28" xfId="0" applyFont="1" applyFill="1" applyBorder="1"/>
    <xf numFmtId="0" fontId="5" fillId="6" borderId="22" xfId="0" applyFont="1" applyFill="1" applyBorder="1" applyProtection="1"/>
    <xf numFmtId="0" fontId="16" fillId="6" borderId="0" xfId="0" applyFont="1" applyFill="1" applyBorder="1"/>
    <xf numFmtId="0" fontId="5" fillId="6" borderId="23" xfId="0" applyFont="1" applyFill="1" applyBorder="1"/>
    <xf numFmtId="0" fontId="0" fillId="2" borderId="25" xfId="0" applyFill="1" applyBorder="1"/>
    <xf numFmtId="0" fontId="0" fillId="3" borderId="0" xfId="0" applyFill="1" applyBorder="1"/>
    <xf numFmtId="0" fontId="5" fillId="6" borderId="8" xfId="0" applyFont="1" applyFill="1" applyBorder="1"/>
    <xf numFmtId="0" fontId="3" fillId="6" borderId="29" xfId="0" applyFont="1" applyFill="1" applyBorder="1"/>
    <xf numFmtId="0" fontId="5" fillId="6" borderId="0" xfId="0" applyFont="1" applyFill="1"/>
    <xf numFmtId="0" fontId="4" fillId="0" borderId="0" xfId="0" applyFont="1"/>
    <xf numFmtId="0" fontId="5" fillId="6" borderId="22" xfId="0" applyFont="1" applyFill="1" applyBorder="1" applyAlignment="1">
      <alignment horizontal="right"/>
    </xf>
    <xf numFmtId="0" fontId="5" fillId="6" borderId="23" xfId="0" applyFont="1" applyFill="1" applyBorder="1" applyAlignment="1">
      <alignment horizontal="right"/>
    </xf>
    <xf numFmtId="14" fontId="0" fillId="3" borderId="4" xfId="0" applyNumberFormat="1" applyFill="1" applyBorder="1"/>
    <xf numFmtId="0" fontId="0" fillId="4" borderId="0" xfId="0" applyFill="1" applyBorder="1"/>
    <xf numFmtId="0" fontId="3" fillId="6" borderId="22" xfId="0" applyFont="1" applyFill="1" applyBorder="1"/>
    <xf numFmtId="0" fontId="3" fillId="6" borderId="26" xfId="0" applyFont="1" applyFill="1" applyBorder="1"/>
    <xf numFmtId="0" fontId="3" fillId="6" borderId="0" xfId="0" applyFont="1" applyFill="1" applyBorder="1"/>
    <xf numFmtId="0" fontId="5" fillId="0" borderId="30" xfId="0" applyFont="1" applyBorder="1" applyAlignment="1">
      <alignment horizontal="center"/>
    </xf>
    <xf numFmtId="0" fontId="8" fillId="0" borderId="0" xfId="0" applyFont="1" applyBorder="1" applyAlignment="1">
      <alignment wrapText="1"/>
    </xf>
    <xf numFmtId="0" fontId="8" fillId="0" borderId="0" xfId="0" applyFont="1" applyBorder="1"/>
    <xf numFmtId="0" fontId="8" fillId="0" borderId="0" xfId="0" applyFont="1" applyBorder="1" applyAlignment="1">
      <alignment horizontal="right" wrapText="1"/>
    </xf>
    <xf numFmtId="0" fontId="8" fillId="0" borderId="0" xfId="0" applyFont="1" applyFill="1" applyBorder="1" applyAlignment="1">
      <alignment horizontal="left" wrapText="1"/>
    </xf>
    <xf numFmtId="0" fontId="3" fillId="6" borderId="0" xfId="0" applyFont="1" applyFill="1" applyBorder="1" applyAlignment="1">
      <alignment wrapText="1"/>
    </xf>
    <xf numFmtId="0" fontId="0" fillId="0" borderId="0" xfId="0" applyAlignment="1">
      <alignment wrapText="1"/>
    </xf>
    <xf numFmtId="0" fontId="0" fillId="5" borderId="0" xfId="0" applyFill="1" applyAlignment="1">
      <alignment wrapText="1"/>
    </xf>
    <xf numFmtId="0" fontId="0" fillId="2" borderId="0" xfId="0" applyFill="1" applyAlignment="1">
      <alignment wrapText="1"/>
    </xf>
    <xf numFmtId="0" fontId="0" fillId="4" borderId="0" xfId="0" applyFill="1" applyAlignment="1">
      <alignment wrapText="1"/>
    </xf>
    <xf numFmtId="0" fontId="0" fillId="3" borderId="0" xfId="0" applyFill="1" applyAlignment="1">
      <alignment wrapText="1"/>
    </xf>
    <xf numFmtId="0" fontId="0" fillId="3" borderId="31" xfId="0" applyFill="1" applyBorder="1"/>
    <xf numFmtId="0" fontId="4" fillId="0" borderId="0" xfId="0" applyFont="1" applyBorder="1" applyAlignment="1">
      <alignment vertical="top" wrapText="1"/>
    </xf>
    <xf numFmtId="0" fontId="8" fillId="0" borderId="0" xfId="0" applyFont="1" applyBorder="1" applyAlignment="1">
      <alignment vertical="top" wrapText="1"/>
    </xf>
    <xf numFmtId="0" fontId="4" fillId="0" borderId="0" xfId="0" applyFont="1" applyBorder="1"/>
    <xf numFmtId="0" fontId="8" fillId="0" borderId="0" xfId="0" quotePrefix="1" applyFont="1" applyBorder="1" applyAlignment="1">
      <alignment horizontal="center" vertical="top" wrapText="1"/>
    </xf>
    <xf numFmtId="16" fontId="8" fillId="0" borderId="0" xfId="0" quotePrefix="1" applyNumberFormat="1" applyFont="1" applyBorder="1" applyAlignment="1">
      <alignment horizontal="center" vertical="top" wrapText="1"/>
    </xf>
    <xf numFmtId="0" fontId="8" fillId="0" borderId="0" xfId="0" applyFont="1" applyBorder="1" applyAlignment="1">
      <alignment horizontal="center" vertical="top" wrapText="1"/>
    </xf>
    <xf numFmtId="0" fontId="8" fillId="0" borderId="0" xfId="0" applyFont="1" applyBorder="1" applyAlignment="1">
      <alignment horizontal="right"/>
    </xf>
    <xf numFmtId="0" fontId="8" fillId="0" borderId="0" xfId="0" applyFont="1" applyBorder="1" applyAlignment="1">
      <alignment horizontal="right" vertical="top" wrapText="1"/>
    </xf>
    <xf numFmtId="0" fontId="3" fillId="6" borderId="8" xfId="0" applyFont="1" applyFill="1" applyBorder="1"/>
    <xf numFmtId="0" fontId="4" fillId="0" borderId="20" xfId="0" applyFont="1" applyBorder="1"/>
    <xf numFmtId="0" fontId="4" fillId="0" borderId="32" xfId="0" applyFont="1" applyBorder="1"/>
    <xf numFmtId="0" fontId="7" fillId="0" borderId="33" xfId="0" applyFont="1" applyBorder="1" applyAlignment="1">
      <alignment horizontal="center"/>
    </xf>
    <xf numFmtId="0" fontId="7" fillId="0" borderId="34" xfId="0" applyFont="1" applyBorder="1" applyAlignment="1">
      <alignment horizontal="center"/>
    </xf>
    <xf numFmtId="0" fontId="17" fillId="0" borderId="34" xfId="0" applyFont="1" applyBorder="1" applyAlignment="1">
      <alignment horizontal="center"/>
    </xf>
    <xf numFmtId="0" fontId="17" fillId="0" borderId="0" xfId="0" applyFont="1"/>
    <xf numFmtId="0" fontId="7" fillId="0" borderId="22" xfId="0" applyFont="1" applyBorder="1" applyAlignment="1">
      <alignment horizontal="center"/>
    </xf>
    <xf numFmtId="0" fontId="7" fillId="0" borderId="23" xfId="0" applyFont="1" applyBorder="1" applyAlignment="1">
      <alignment horizontal="center"/>
    </xf>
    <xf numFmtId="0" fontId="18" fillId="0" borderId="0" xfId="0" applyFont="1" applyBorder="1" applyAlignment="1"/>
    <xf numFmtId="0" fontId="19" fillId="0" borderId="31" xfId="0" applyFont="1" applyBorder="1"/>
    <xf numFmtId="0" fontId="19" fillId="0" borderId="31" xfId="0" applyFont="1" applyBorder="1" applyAlignment="1"/>
    <xf numFmtId="0" fontId="19" fillId="0" borderId="0" xfId="0" applyFont="1" applyBorder="1"/>
    <xf numFmtId="0" fontId="19" fillId="0" borderId="0" xfId="0" applyFont="1" applyBorder="1" applyAlignment="1"/>
    <xf numFmtId="0" fontId="19" fillId="0" borderId="0" xfId="0" applyFont="1" applyBorder="1" applyAlignment="1">
      <alignment horizontal="center"/>
    </xf>
    <xf numFmtId="0" fontId="20" fillId="0" borderId="0" xfId="0" applyFont="1"/>
    <xf numFmtId="0" fontId="20" fillId="0" borderId="31" xfId="0" applyFont="1" applyBorder="1" applyAlignment="1">
      <alignment horizontal="center"/>
    </xf>
    <xf numFmtId="0" fontId="18" fillId="0" borderId="0" xfId="0" applyFont="1" applyBorder="1" applyAlignment="1">
      <alignment horizontal="center"/>
    </xf>
    <xf numFmtId="0" fontId="20" fillId="0" borderId="0" xfId="0" applyFont="1" applyBorder="1" applyAlignment="1"/>
    <xf numFmtId="0" fontId="2" fillId="0" borderId="0" xfId="0" applyFont="1"/>
    <xf numFmtId="0" fontId="2" fillId="0" borderId="0" xfId="0" applyNumberFormat="1" applyFont="1" applyAlignment="1">
      <alignment wrapText="1"/>
    </xf>
    <xf numFmtId="0" fontId="7" fillId="0" borderId="0" xfId="0" applyFont="1" applyBorder="1" applyAlignment="1">
      <alignment wrapText="1"/>
    </xf>
    <xf numFmtId="0" fontId="7" fillId="0" borderId="0" xfId="0" applyNumberFormat="1" applyFont="1" applyBorder="1" applyAlignment="1">
      <alignment wrapText="1"/>
    </xf>
    <xf numFmtId="0" fontId="3" fillId="6" borderId="0" xfId="0" applyFont="1" applyFill="1"/>
    <xf numFmtId="0" fontId="21" fillId="0" borderId="0" xfId="0" applyFont="1" applyFill="1"/>
    <xf numFmtId="0" fontId="22" fillId="0" borderId="0" xfId="0" applyFont="1"/>
    <xf numFmtId="0" fontId="0" fillId="0" borderId="0" xfId="0" applyFill="1" applyBorder="1"/>
    <xf numFmtId="0" fontId="5" fillId="6" borderId="35" xfId="0" applyFont="1" applyFill="1" applyBorder="1"/>
    <xf numFmtId="0" fontId="5" fillId="6" borderId="36" xfId="0" applyFont="1" applyFill="1" applyBorder="1"/>
    <xf numFmtId="0" fontId="5" fillId="6" borderId="37" xfId="0" applyFont="1" applyFill="1" applyBorder="1"/>
    <xf numFmtId="0" fontId="0" fillId="5" borderId="31" xfId="0" applyFill="1" applyBorder="1"/>
    <xf numFmtId="0" fontId="0" fillId="5" borderId="31" xfId="0" applyFill="1" applyBorder="1"/>
    <xf numFmtId="0" fontId="23" fillId="0" borderId="0" xfId="1" applyAlignment="1" applyProtection="1">
      <alignment wrapText="1"/>
    </xf>
    <xf numFmtId="0" fontId="9" fillId="0" borderId="0" xfId="0" applyFont="1"/>
    <xf numFmtId="49" fontId="3" fillId="6" borderId="0" xfId="0" applyNumberFormat="1" applyFont="1" applyFill="1" applyBorder="1" applyAlignment="1">
      <alignment wrapText="1"/>
    </xf>
    <xf numFmtId="49" fontId="8" fillId="0" borderId="0" xfId="0" applyNumberFormat="1" applyFont="1" applyBorder="1" applyAlignment="1">
      <alignment wrapText="1"/>
    </xf>
    <xf numFmtId="49" fontId="8" fillId="0" borderId="0" xfId="0" applyNumberFormat="1" applyFont="1" applyBorder="1"/>
    <xf numFmtId="0" fontId="8" fillId="0" borderId="0" xfId="0" applyFont="1" applyFill="1" applyBorder="1" applyAlignment="1">
      <alignment wrapText="1"/>
    </xf>
    <xf numFmtId="0" fontId="8" fillId="0" borderId="0" xfId="0" applyFont="1" applyFill="1" applyBorder="1" applyAlignment="1">
      <alignment horizontal="right" wrapText="1"/>
    </xf>
    <xf numFmtId="0" fontId="8" fillId="0" borderId="0" xfId="0" applyFont="1" applyFill="1" applyBorder="1"/>
    <xf numFmtId="2" fontId="8" fillId="0" borderId="0" xfId="0" applyNumberFormat="1" applyFont="1" applyBorder="1" applyAlignment="1">
      <alignment wrapText="1"/>
    </xf>
    <xf numFmtId="0" fontId="5" fillId="0" borderId="0" xfId="0" applyFont="1" applyFill="1" applyBorder="1" applyAlignment="1">
      <alignment wrapText="1"/>
    </xf>
    <xf numFmtId="0" fontId="13" fillId="0" borderId="0" xfId="0" applyFont="1" applyAlignment="1">
      <alignment wrapText="1"/>
    </xf>
    <xf numFmtId="9" fontId="0" fillId="0" borderId="0" xfId="0" applyNumberFormat="1"/>
    <xf numFmtId="0" fontId="0" fillId="0" borderId="20" xfId="0" applyBorder="1"/>
    <xf numFmtId="0" fontId="0" fillId="0" borderId="0" xfId="0" applyAlignment="1"/>
    <xf numFmtId="49" fontId="3" fillId="6" borderId="0" xfId="0" applyNumberFormat="1" applyFont="1" applyFill="1"/>
    <xf numFmtId="0" fontId="0" fillId="0" borderId="0" xfId="0" applyAlignment="1"/>
    <xf numFmtId="0" fontId="1" fillId="0" borderId="0" xfId="0" applyFont="1"/>
    <xf numFmtId="0" fontId="1" fillId="0" borderId="0" xfId="0" applyFont="1" applyAlignment="1">
      <alignment wrapText="1"/>
    </xf>
    <xf numFmtId="0" fontId="1" fillId="0" borderId="0" xfId="2" applyFont="1" applyFill="1"/>
    <xf numFmtId="0" fontId="1" fillId="0" borderId="0" xfId="2" applyFont="1" applyAlignment="1">
      <alignment wrapText="1"/>
    </xf>
    <xf numFmtId="0" fontId="1" fillId="0" borderId="0" xfId="2" applyNumberFormat="1" applyFont="1" applyAlignment="1">
      <alignment wrapText="1"/>
    </xf>
    <xf numFmtId="0" fontId="27" fillId="0" borderId="0" xfId="0" applyFont="1" applyAlignment="1">
      <alignment wrapText="1"/>
    </xf>
    <xf numFmtId="0" fontId="27" fillId="0" borderId="0" xfId="0" applyNumberFormat="1" applyFont="1" applyAlignment="1">
      <alignment wrapText="1"/>
    </xf>
    <xf numFmtId="0" fontId="25" fillId="0" borderId="0" xfId="0" applyFont="1"/>
    <xf numFmtId="0" fontId="0" fillId="7" borderId="0" xfId="0" applyFill="1"/>
    <xf numFmtId="0" fontId="3" fillId="0" borderId="0" xfId="0" applyFont="1" applyFill="1" applyAlignment="1"/>
    <xf numFmtId="0" fontId="5" fillId="0" borderId="0" xfId="0" applyFont="1" applyFill="1" applyAlignment="1"/>
    <xf numFmtId="0" fontId="0" fillId="8" borderId="0" xfId="0" applyFill="1" applyBorder="1"/>
    <xf numFmtId="0" fontId="0" fillId="8" borderId="20" xfId="0" applyFill="1" applyBorder="1"/>
    <xf numFmtId="0" fontId="0" fillId="8" borderId="21" xfId="0" applyFill="1" applyBorder="1"/>
    <xf numFmtId="0" fontId="0" fillId="8" borderId="0" xfId="0" applyFill="1"/>
    <xf numFmtId="0" fontId="1" fillId="0" borderId="0" xfId="0" applyNumberFormat="1" applyFont="1" applyAlignment="1">
      <alignment wrapText="1"/>
    </xf>
    <xf numFmtId="0" fontId="4" fillId="0" borderId="0" xfId="0" applyFont="1" applyAlignment="1">
      <alignment wrapText="1"/>
    </xf>
    <xf numFmtId="0" fontId="1" fillId="0" borderId="0" xfId="2" applyFont="1"/>
    <xf numFmtId="1" fontId="28" fillId="0" borderId="0" xfId="0" applyNumberFormat="1" applyFont="1"/>
    <xf numFmtId="0" fontId="28" fillId="0" borderId="0" xfId="0" applyFont="1"/>
    <xf numFmtId="1" fontId="28" fillId="0" borderId="0" xfId="0" applyNumberFormat="1" applyFont="1" applyAlignment="1">
      <alignment horizontal="center"/>
    </xf>
    <xf numFmtId="0" fontId="28" fillId="0" borderId="0" xfId="0" quotePrefix="1" applyFont="1" applyAlignment="1">
      <alignment horizontal="center"/>
    </xf>
    <xf numFmtId="0" fontId="1" fillId="2" borderId="0" xfId="0" applyFont="1" applyFill="1"/>
    <xf numFmtId="0" fontId="0" fillId="0" borderId="30" xfId="0" applyBorder="1"/>
    <xf numFmtId="0" fontId="0" fillId="0" borderId="33" xfId="0" applyBorder="1"/>
    <xf numFmtId="0" fontId="0" fillId="0" borderId="34" xfId="0" applyBorder="1"/>
    <xf numFmtId="0" fontId="29" fillId="0" borderId="0" xfId="0" applyFont="1" applyBorder="1"/>
    <xf numFmtId="0" fontId="0" fillId="0" borderId="22" xfId="0" applyBorder="1" applyAlignment="1">
      <alignment horizontal="center"/>
    </xf>
    <xf numFmtId="0" fontId="0" fillId="0" borderId="0" xfId="0" applyBorder="1" applyAlignment="1">
      <alignment horizontal="center"/>
    </xf>
    <xf numFmtId="0" fontId="0" fillId="0" borderId="4" xfId="0" applyBorder="1" applyAlignment="1">
      <alignment horizontal="center"/>
    </xf>
    <xf numFmtId="0" fontId="0" fillId="0" borderId="23" xfId="0" applyBorder="1" applyAlignment="1">
      <alignment horizontal="center"/>
    </xf>
    <xf numFmtId="0" fontId="0" fillId="0" borderId="20" xfId="0" applyBorder="1" applyAlignment="1">
      <alignment horizontal="center"/>
    </xf>
    <xf numFmtId="0" fontId="0" fillId="0" borderId="25" xfId="0" applyBorder="1" applyAlignment="1">
      <alignment horizontal="center"/>
    </xf>
    <xf numFmtId="0" fontId="29" fillId="0" borderId="22" xfId="0" applyFont="1" applyBorder="1" applyAlignment="1">
      <alignment horizontal="left"/>
    </xf>
    <xf numFmtId="0" fontId="29" fillId="0" borderId="0" xfId="0" applyFont="1" applyBorder="1" applyAlignment="1">
      <alignment horizontal="left"/>
    </xf>
    <xf numFmtId="0" fontId="29" fillId="0" borderId="4" xfId="0" applyFont="1" applyBorder="1" applyAlignment="1">
      <alignment horizontal="left"/>
    </xf>
    <xf numFmtId="0" fontId="29" fillId="0" borderId="23" xfId="0" applyFont="1" applyBorder="1" applyAlignment="1">
      <alignment horizontal="left"/>
    </xf>
    <xf numFmtId="0" fontId="29" fillId="0" borderId="20" xfId="0" applyFont="1" applyBorder="1" applyAlignment="1">
      <alignment horizontal="left"/>
    </xf>
    <xf numFmtId="0" fontId="29" fillId="0" borderId="25" xfId="0" applyFont="1" applyBorder="1" applyAlignment="1">
      <alignment horizontal="left"/>
    </xf>
    <xf numFmtId="0" fontId="19" fillId="0" borderId="35" xfId="0" applyFont="1" applyBorder="1" applyAlignment="1">
      <alignment horizontal="left"/>
    </xf>
    <xf numFmtId="0" fontId="19" fillId="0" borderId="36" xfId="0" applyFont="1" applyBorder="1" applyAlignment="1">
      <alignment horizontal="left"/>
    </xf>
    <xf numFmtId="0" fontId="19" fillId="0" borderId="37" xfId="0" applyFont="1" applyBorder="1" applyAlignment="1">
      <alignment horizontal="left"/>
    </xf>
    <xf numFmtId="0" fontId="19" fillId="0" borderId="35" xfId="0" applyFont="1" applyBorder="1" applyAlignment="1">
      <alignment horizontal="center"/>
    </xf>
    <xf numFmtId="0" fontId="19" fillId="0" borderId="37" xfId="0" applyFont="1" applyBorder="1" applyAlignment="1">
      <alignment horizontal="center"/>
    </xf>
    <xf numFmtId="0" fontId="19" fillId="0" borderId="36" xfId="0" applyFont="1" applyBorder="1" applyAlignment="1">
      <alignment horizontal="center"/>
    </xf>
    <xf numFmtId="0" fontId="20" fillId="0" borderId="35" xfId="0" applyFont="1" applyBorder="1" applyAlignment="1">
      <alignment horizontal="center"/>
    </xf>
    <xf numFmtId="0" fontId="20" fillId="0" borderId="36" xfId="0" applyFont="1" applyBorder="1" applyAlignment="1">
      <alignment horizontal="center"/>
    </xf>
    <xf numFmtId="0" fontId="20" fillId="0" borderId="37" xfId="0" applyFont="1" applyBorder="1" applyAlignment="1">
      <alignment horizontal="center"/>
    </xf>
    <xf numFmtId="0" fontId="20" fillId="0" borderId="26" xfId="0" applyFont="1" applyBorder="1" applyAlignment="1">
      <alignment horizontal="center"/>
    </xf>
    <xf numFmtId="0" fontId="20" fillId="0" borderId="27" xfId="0" applyFont="1" applyBorder="1" applyAlignment="1">
      <alignment horizontal="center"/>
    </xf>
    <xf numFmtId="0" fontId="20" fillId="0" borderId="28" xfId="0" applyFont="1" applyBorder="1" applyAlignment="1">
      <alignment horizontal="center"/>
    </xf>
    <xf numFmtId="0" fontId="19" fillId="0" borderId="31" xfId="0" applyFont="1" applyBorder="1" applyAlignment="1">
      <alignment horizontal="center"/>
    </xf>
    <xf numFmtId="0" fontId="20" fillId="0" borderId="20" xfId="0" applyFont="1" applyBorder="1" applyAlignment="1">
      <alignment horizontal="center"/>
    </xf>
    <xf numFmtId="0" fontId="20" fillId="0" borderId="0" xfId="0" applyFont="1" applyAlignment="1">
      <alignment horizontal="center"/>
    </xf>
    <xf numFmtId="0" fontId="18" fillId="0" borderId="36" xfId="0" applyFont="1" applyBorder="1" applyAlignment="1">
      <alignment horizontal="center"/>
    </xf>
    <xf numFmtId="0" fontId="18" fillId="0" borderId="0" xfId="0" applyFont="1" applyBorder="1" applyAlignment="1">
      <alignment horizontal="center"/>
    </xf>
    <xf numFmtId="0" fontId="18" fillId="0" borderId="27" xfId="0" applyFont="1" applyBorder="1" applyAlignment="1">
      <alignment horizontal="center"/>
    </xf>
    <xf numFmtId="0" fontId="20" fillId="0" borderId="0" xfId="0" applyFont="1" applyBorder="1" applyAlignment="1">
      <alignment horizontal="left"/>
    </xf>
    <xf numFmtId="0" fontId="18" fillId="0" borderId="20" xfId="0" applyFont="1" applyBorder="1" applyAlignment="1">
      <alignment horizontal="center"/>
    </xf>
    <xf numFmtId="0" fontId="18" fillId="0" borderId="35" xfId="0" applyFont="1" applyBorder="1" applyAlignment="1">
      <alignment horizontal="center"/>
    </xf>
    <xf numFmtId="0" fontId="18" fillId="0" borderId="37" xfId="0" applyFont="1" applyBorder="1" applyAlignment="1">
      <alignment horizontal="center"/>
    </xf>
    <xf numFmtId="0" fontId="20" fillId="0" borderId="0" xfId="0" applyFont="1" applyBorder="1" applyAlignment="1">
      <alignment horizontal="right"/>
    </xf>
    <xf numFmtId="0" fontId="3" fillId="6" borderId="0" xfId="0" applyFont="1" applyFill="1" applyAlignment="1">
      <alignment horizontal="center"/>
    </xf>
    <xf numFmtId="0" fontId="5" fillId="6" borderId="0" xfId="0" applyFont="1" applyFill="1" applyAlignment="1">
      <alignment horizontal="center"/>
    </xf>
    <xf numFmtId="0" fontId="0" fillId="0" borderId="0" xfId="0" applyAlignment="1">
      <alignment horizontal="left"/>
    </xf>
    <xf numFmtId="0" fontId="26" fillId="7" borderId="0" xfId="0" applyFont="1" applyFill="1" applyAlignment="1">
      <alignment horizontal="center"/>
    </xf>
    <xf numFmtId="0" fontId="0" fillId="0" borderId="0" xfId="0" applyAlignment="1">
      <alignment horizontal="center"/>
    </xf>
  </cellXfs>
  <cellStyles count="4">
    <cellStyle name="Hivatkozás" xfId="1" builtinId="8"/>
    <cellStyle name="Normál" xfId="0" builtinId="0"/>
    <cellStyle name="Normál_Munka2" xfId="2" xr:uid="{00000000-0005-0000-0000-000002000000}"/>
    <cellStyle name="Pénznem 2" xfId="3" xr:uid="{00000000-0005-0000-0000-000003000000}"/>
  </cellStyles>
  <dxfs count="51">
    <dxf>
      <fill>
        <patternFill>
          <bgColor indexed="57"/>
        </patternFill>
      </fill>
    </dxf>
    <dxf>
      <fill>
        <patternFill>
          <bgColor indexed="57"/>
        </patternFill>
      </fill>
    </dxf>
    <dxf>
      <fill>
        <patternFill>
          <bgColor indexed="57"/>
        </patternFill>
      </fill>
    </dxf>
    <dxf>
      <font>
        <condense val="0"/>
        <extend val="0"/>
        <color indexed="22"/>
      </font>
    </dxf>
    <dxf>
      <font>
        <condense val="0"/>
        <extend val="0"/>
        <color indexed="22"/>
      </font>
    </dxf>
    <dxf>
      <font>
        <condense val="0"/>
        <extend val="0"/>
        <color indexed="22"/>
      </font>
    </dxf>
    <dxf>
      <font>
        <condense val="0"/>
        <extend val="0"/>
        <color indexed="9"/>
      </font>
      <fill>
        <patternFill>
          <bgColor indexed="63"/>
        </patternFill>
      </fill>
    </dxf>
    <dxf>
      <font>
        <condense val="0"/>
        <extend val="0"/>
        <color indexed="9"/>
      </font>
      <fill>
        <patternFill>
          <bgColor indexed="63"/>
        </patternFill>
      </fill>
    </dxf>
    <dxf>
      <font>
        <condense val="0"/>
        <extend val="0"/>
        <color indexed="9"/>
      </font>
      <fill>
        <patternFill>
          <bgColor indexed="63"/>
        </patternFill>
      </fill>
    </dxf>
    <dxf>
      <fill>
        <patternFill>
          <bgColor indexed="13"/>
        </patternFill>
      </fill>
    </dxf>
    <dxf>
      <fill>
        <patternFill>
          <bgColor indexed="48"/>
        </patternFill>
      </fill>
    </dxf>
    <dxf>
      <fill>
        <patternFill>
          <bgColor indexed="13"/>
        </patternFill>
      </fill>
    </dxf>
    <dxf>
      <font>
        <b/>
        <i val="0"/>
        <strike val="0"/>
        <condense val="0"/>
        <extend val="0"/>
        <color indexed="8"/>
      </font>
      <fill>
        <patternFill patternType="none">
          <bgColor indexed="65"/>
        </patternFill>
      </fill>
    </dxf>
    <dxf>
      <font>
        <condense val="0"/>
        <extend val="0"/>
        <color indexed="9"/>
      </font>
    </dxf>
    <dxf>
      <font>
        <condense val="0"/>
        <extend val="0"/>
        <color indexed="8"/>
      </font>
    </dxf>
    <dxf>
      <fill>
        <patternFill>
          <bgColor indexed="13"/>
        </patternFill>
      </fill>
    </dxf>
    <dxf>
      <fill>
        <patternFill>
          <bgColor indexed="13"/>
        </patternFill>
      </fill>
    </dxf>
    <dxf>
      <fill>
        <patternFill>
          <bgColor indexed="13"/>
        </patternFill>
      </fill>
    </dxf>
    <dxf>
      <font>
        <condense val="0"/>
        <extend val="0"/>
        <color indexed="8"/>
      </font>
      <fill>
        <patternFill>
          <bgColor indexed="13"/>
        </patternFill>
      </fill>
    </dxf>
    <dxf>
      <font>
        <b/>
        <i val="0"/>
        <condense val="0"/>
        <extend val="0"/>
        <color indexed="8"/>
      </font>
    </dxf>
    <dxf>
      <fill>
        <patternFill>
          <bgColor indexed="13"/>
        </patternFill>
      </fill>
    </dxf>
    <dxf>
      <font>
        <b/>
        <i val="0"/>
        <condense val="0"/>
        <extend val="0"/>
        <color indexed="8"/>
      </font>
    </dxf>
    <dxf>
      <fill>
        <patternFill>
          <bgColor indexed="13"/>
        </patternFill>
      </fill>
    </dxf>
    <dxf>
      <fill>
        <patternFill>
          <bgColor indexed="13"/>
        </patternFill>
      </fill>
    </dxf>
    <dxf>
      <fill>
        <patternFill>
          <bgColor indexed="13"/>
        </patternFill>
      </fill>
    </dxf>
    <dxf>
      <fill>
        <patternFill>
          <bgColor indexed="13"/>
        </patternFill>
      </fill>
    </dxf>
    <dxf>
      <font>
        <b/>
        <i val="0"/>
        <condense val="0"/>
        <extend val="0"/>
        <color indexed="8"/>
      </font>
    </dxf>
    <dxf>
      <fill>
        <patternFill>
          <bgColor indexed="13"/>
        </patternFill>
      </fill>
    </dxf>
    <dxf>
      <fill>
        <patternFill>
          <bgColor indexed="13"/>
        </patternFill>
      </fill>
    </dxf>
    <dxf>
      <fill>
        <patternFill>
          <bgColor indexed="13"/>
        </patternFill>
      </fill>
    </dxf>
    <dxf>
      <font>
        <condense val="0"/>
        <extend val="0"/>
        <color indexed="8"/>
      </font>
      <fill>
        <patternFill>
          <bgColor indexed="13"/>
        </patternFill>
      </fill>
    </dxf>
    <dxf>
      <fill>
        <patternFill>
          <bgColor indexed="13"/>
        </patternFill>
      </fill>
    </dxf>
    <dxf>
      <fill>
        <patternFill>
          <bgColor indexed="13"/>
        </patternFill>
      </fill>
    </dxf>
    <dxf>
      <fill>
        <patternFill>
          <bgColor indexed="13"/>
        </patternFill>
      </fill>
    </dxf>
    <dxf>
      <font>
        <condense val="0"/>
        <extend val="0"/>
        <color indexed="9"/>
      </font>
      <fill>
        <patternFill>
          <bgColor indexed="63"/>
        </patternFill>
      </fill>
    </dxf>
    <dxf>
      <font>
        <condense val="0"/>
        <extend val="0"/>
        <color indexed="9"/>
      </font>
      <fill>
        <patternFill>
          <bgColor indexed="63"/>
        </patternFill>
      </fill>
    </dxf>
    <dxf>
      <font>
        <condense val="0"/>
        <extend val="0"/>
        <color auto="1"/>
      </font>
    </dxf>
    <dxf>
      <font>
        <condense val="0"/>
        <extend val="0"/>
        <color indexed="63"/>
      </font>
      <fill>
        <patternFill>
          <bgColor indexed="63"/>
        </patternFill>
      </fill>
    </dxf>
    <dxf>
      <fill>
        <patternFill>
          <bgColor indexed="13"/>
        </patternFill>
      </fill>
    </dxf>
    <dxf>
      <fill>
        <patternFill>
          <bgColor indexed="13"/>
        </patternFill>
      </fill>
    </dxf>
    <dxf>
      <fill>
        <patternFill>
          <bgColor indexed="13"/>
        </patternFill>
      </fill>
    </dxf>
    <dxf>
      <fill>
        <patternFill>
          <bgColor indexed="13"/>
        </patternFill>
      </fill>
    </dxf>
    <dxf>
      <font>
        <b/>
        <i val="0"/>
        <condense val="0"/>
        <extend val="0"/>
        <color indexed="8"/>
      </font>
    </dxf>
    <dxf>
      <font>
        <condense val="0"/>
        <extend val="0"/>
        <color indexed="8"/>
      </font>
    </dxf>
    <dxf>
      <font>
        <condense val="0"/>
        <extend val="0"/>
        <color indexed="8"/>
      </font>
      <fill>
        <patternFill>
          <bgColor indexed="13"/>
        </patternFill>
      </fill>
    </dxf>
    <dxf>
      <font>
        <condense val="0"/>
        <extend val="0"/>
        <color indexed="8"/>
      </font>
    </dxf>
    <dxf>
      <font>
        <b/>
        <i val="0"/>
        <condense val="0"/>
        <extend val="0"/>
        <color indexed="8"/>
      </font>
    </dxf>
    <dxf>
      <fill>
        <patternFill>
          <bgColor indexed="50"/>
        </patternFill>
      </fill>
    </dxf>
    <dxf>
      <fill>
        <patternFill>
          <bgColor indexed="13"/>
        </patternFill>
      </fill>
    </dxf>
    <dxf>
      <fill>
        <patternFill>
          <bgColor indexed="13"/>
        </patternFill>
      </fill>
    </dxf>
    <dxf>
      <fill>
        <patternFill>
          <bgColor indexed="13"/>
        </patternFill>
      </fill>
    </dxf>
  </dxfs>
  <tableStyles count="0" defaultTableStyle="TableStyleMedium2" defaultPivotStyle="PivotStyleLight16"/>
  <colors>
    <mruColors>
      <color rgb="FF8000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27</xdr:col>
      <xdr:colOff>196850</xdr:colOff>
      <xdr:row>48</xdr:row>
      <xdr:rowOff>133350</xdr:rowOff>
    </xdr:to>
    <xdr:pic>
      <xdr:nvPicPr>
        <xdr:cNvPr id="2081" name="Picture 3" descr="karakterlap_ures">
          <a:extLst>
            <a:ext uri="{FF2B5EF4-FFF2-40B4-BE49-F238E27FC236}">
              <a16:creationId xmlns:a16="http://schemas.microsoft.com/office/drawing/2014/main" id="{00000000-0008-0000-0400-00002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718300" cy="10496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6350</xdr:colOff>
      <xdr:row>49</xdr:row>
      <xdr:rowOff>25400</xdr:rowOff>
    </xdr:from>
    <xdr:to>
      <xdr:col>27</xdr:col>
      <xdr:colOff>209550</xdr:colOff>
      <xdr:row>97</xdr:row>
      <xdr:rowOff>158750</xdr:rowOff>
    </xdr:to>
    <xdr:pic>
      <xdr:nvPicPr>
        <xdr:cNvPr id="2082" name="Picture 10" descr="karakterlap_ures">
          <a:extLst>
            <a:ext uri="{FF2B5EF4-FFF2-40B4-BE49-F238E27FC236}">
              <a16:creationId xmlns:a16="http://schemas.microsoft.com/office/drawing/2014/main" id="{00000000-0008-0000-0400-00002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 y="10604500"/>
          <a:ext cx="6889750" cy="10496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98</xdr:row>
      <xdr:rowOff>25400</xdr:rowOff>
    </xdr:from>
    <xdr:to>
      <xdr:col>27</xdr:col>
      <xdr:colOff>196850</xdr:colOff>
      <xdr:row>146</xdr:row>
      <xdr:rowOff>158750</xdr:rowOff>
    </xdr:to>
    <xdr:pic>
      <xdr:nvPicPr>
        <xdr:cNvPr id="2083" name="Picture 12" descr="karakterlap_ures">
          <a:extLst>
            <a:ext uri="{FF2B5EF4-FFF2-40B4-BE49-F238E27FC236}">
              <a16:creationId xmlns:a16="http://schemas.microsoft.com/office/drawing/2014/main" id="{00000000-0008-0000-0400-00002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189950"/>
          <a:ext cx="6889750" cy="10496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6350</xdr:colOff>
      <xdr:row>147</xdr:row>
      <xdr:rowOff>44450</xdr:rowOff>
    </xdr:from>
    <xdr:to>
      <xdr:col>27</xdr:col>
      <xdr:colOff>215900</xdr:colOff>
      <xdr:row>196</xdr:row>
      <xdr:rowOff>0</xdr:rowOff>
    </xdr:to>
    <xdr:pic>
      <xdr:nvPicPr>
        <xdr:cNvPr id="2084" name="Picture 13" descr="karakterlap_ures">
          <a:extLst>
            <a:ext uri="{FF2B5EF4-FFF2-40B4-BE49-F238E27FC236}">
              <a16:creationId xmlns:a16="http://schemas.microsoft.com/office/drawing/2014/main" id="{00000000-0008-0000-0400-00002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 y="31788100"/>
          <a:ext cx="6889750" cy="10496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té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martion.alomvilag.hu/fooldal.php?link=szsz/index"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6"/>
  </sheetPr>
  <dimension ref="A1:B49"/>
  <sheetViews>
    <sheetView tabSelected="1" workbookViewId="0">
      <selection activeCell="A2" sqref="A2"/>
    </sheetView>
  </sheetViews>
  <sheetFormatPr defaultRowHeight="15" x14ac:dyDescent="0.25"/>
  <cols>
    <col min="1" max="1" width="17.85546875" style="73" bestFit="1" customWidth="1"/>
    <col min="2" max="2" width="73.28515625" style="151" bestFit="1" customWidth="1"/>
  </cols>
  <sheetData>
    <row r="1" spans="1:2" x14ac:dyDescent="0.25">
      <c r="A1" s="211" t="s">
        <v>2077</v>
      </c>
      <c r="B1" s="151" t="s">
        <v>249</v>
      </c>
    </row>
    <row r="2" spans="1:2" x14ac:dyDescent="0.25">
      <c r="A2" s="73" t="s">
        <v>2076</v>
      </c>
      <c r="B2" s="151" t="s">
        <v>250</v>
      </c>
    </row>
    <row r="3" spans="1:2" x14ac:dyDescent="0.25">
      <c r="B3" s="197" t="s">
        <v>1561</v>
      </c>
    </row>
    <row r="5" spans="1:2" x14ac:dyDescent="0.25">
      <c r="B5" s="152" t="s">
        <v>1562</v>
      </c>
    </row>
    <row r="6" spans="1:2" x14ac:dyDescent="0.25">
      <c r="B6" s="153" t="s">
        <v>1563</v>
      </c>
    </row>
    <row r="7" spans="1:2" ht="16.5" customHeight="1" x14ac:dyDescent="0.25">
      <c r="B7" s="154" t="s">
        <v>539</v>
      </c>
    </row>
    <row r="8" spans="1:2" x14ac:dyDescent="0.25">
      <c r="B8" s="155" t="s">
        <v>1564</v>
      </c>
    </row>
    <row r="9" spans="1:2" x14ac:dyDescent="0.25">
      <c r="B9" s="151" t="s">
        <v>1716</v>
      </c>
    </row>
    <row r="11" spans="1:2" ht="45" x14ac:dyDescent="0.25">
      <c r="A11" s="211" t="s">
        <v>806</v>
      </c>
      <c r="B11" s="151" t="s">
        <v>1717</v>
      </c>
    </row>
    <row r="12" spans="1:2" ht="30" x14ac:dyDescent="0.25">
      <c r="B12" s="151" t="s">
        <v>1714</v>
      </c>
    </row>
    <row r="13" spans="1:2" ht="30" x14ac:dyDescent="0.25">
      <c r="A13" s="211" t="s">
        <v>1517</v>
      </c>
      <c r="B13" s="151" t="s">
        <v>1715</v>
      </c>
    </row>
    <row r="14" spans="1:2" x14ac:dyDescent="0.25">
      <c r="B14" s="151" t="s">
        <v>1718</v>
      </c>
    </row>
    <row r="15" spans="1:2" ht="30" x14ac:dyDescent="0.25">
      <c r="A15" s="211" t="s">
        <v>1735</v>
      </c>
      <c r="B15" s="151" t="s">
        <v>641</v>
      </c>
    </row>
    <row r="16" spans="1:2" ht="90" x14ac:dyDescent="0.25">
      <c r="B16" s="151" t="s">
        <v>1734</v>
      </c>
    </row>
    <row r="17" spans="1:2" x14ac:dyDescent="0.25">
      <c r="B17" s="151" t="s">
        <v>85</v>
      </c>
    </row>
    <row r="18" spans="1:2" ht="30" x14ac:dyDescent="0.25">
      <c r="B18" s="151" t="s">
        <v>86</v>
      </c>
    </row>
    <row r="19" spans="1:2" ht="75" x14ac:dyDescent="0.25">
      <c r="B19" s="151" t="s">
        <v>640</v>
      </c>
    </row>
    <row r="20" spans="1:2" x14ac:dyDescent="0.25">
      <c r="A20" s="211" t="s">
        <v>1155</v>
      </c>
      <c r="B20" s="151" t="s">
        <v>1719</v>
      </c>
    </row>
    <row r="21" spans="1:2" ht="60" x14ac:dyDescent="0.25">
      <c r="B21" s="151" t="s">
        <v>1968</v>
      </c>
    </row>
    <row r="22" spans="1:2" ht="45" x14ac:dyDescent="0.25">
      <c r="B22" s="151" t="s">
        <v>1967</v>
      </c>
    </row>
    <row r="23" spans="1:2" ht="45" x14ac:dyDescent="0.25">
      <c r="B23" s="151" t="s">
        <v>164</v>
      </c>
    </row>
    <row r="24" spans="1:2" x14ac:dyDescent="0.25">
      <c r="A24" s="211" t="s">
        <v>1530</v>
      </c>
      <c r="B24" s="151" t="s">
        <v>208</v>
      </c>
    </row>
    <row r="25" spans="1:2" ht="45" x14ac:dyDescent="0.25">
      <c r="B25" s="151" t="s">
        <v>1828</v>
      </c>
    </row>
    <row r="26" spans="1:2" ht="30" x14ac:dyDescent="0.25">
      <c r="A26" s="211" t="s">
        <v>1818</v>
      </c>
      <c r="B26" s="151" t="s">
        <v>2031</v>
      </c>
    </row>
    <row r="27" spans="1:2" ht="30" x14ac:dyDescent="0.25">
      <c r="B27" s="151" t="s">
        <v>1820</v>
      </c>
    </row>
    <row r="28" spans="1:2" ht="60" x14ac:dyDescent="0.25">
      <c r="B28" s="151" t="s">
        <v>1819</v>
      </c>
    </row>
    <row r="31" spans="1:2" ht="45" x14ac:dyDescent="0.25">
      <c r="A31" s="211" t="s">
        <v>2045</v>
      </c>
      <c r="B31" s="151" t="s">
        <v>1996</v>
      </c>
    </row>
    <row r="32" spans="1:2" ht="30" x14ac:dyDescent="0.25">
      <c r="B32" s="151" t="s">
        <v>672</v>
      </c>
    </row>
    <row r="33" spans="1:2" x14ac:dyDescent="0.25">
      <c r="B33" s="151" t="s">
        <v>87</v>
      </c>
    </row>
    <row r="39" spans="1:2" x14ac:dyDescent="0.25">
      <c r="A39" s="211" t="s">
        <v>1503</v>
      </c>
    </row>
    <row r="40" spans="1:2" x14ac:dyDescent="0.25">
      <c r="A40" s="73" t="s">
        <v>1505</v>
      </c>
      <c r="B40" s="151" t="s">
        <v>1504</v>
      </c>
    </row>
    <row r="41" spans="1:2" ht="30" x14ac:dyDescent="0.25">
      <c r="A41" s="73" t="s">
        <v>1270</v>
      </c>
      <c r="B41" s="151" t="s">
        <v>1271</v>
      </c>
    </row>
    <row r="42" spans="1:2" x14ac:dyDescent="0.25">
      <c r="A42" s="73" t="s">
        <v>1731</v>
      </c>
      <c r="B42" s="151" t="s">
        <v>1732</v>
      </c>
    </row>
    <row r="43" spans="1:2" x14ac:dyDescent="0.25">
      <c r="A43" s="73" t="s">
        <v>325</v>
      </c>
      <c r="B43" s="151" t="s">
        <v>1182</v>
      </c>
    </row>
    <row r="44" spans="1:2" x14ac:dyDescent="0.25">
      <c r="A44" s="73" t="s">
        <v>1970</v>
      </c>
      <c r="B44" s="151" t="s">
        <v>1971</v>
      </c>
    </row>
    <row r="45" spans="1:2" x14ac:dyDescent="0.25">
      <c r="A45" s="73" t="s">
        <v>1987</v>
      </c>
      <c r="B45" s="151" t="s">
        <v>1995</v>
      </c>
    </row>
    <row r="46" spans="1:2" ht="30" x14ac:dyDescent="0.25">
      <c r="A46" s="73" t="s">
        <v>2032</v>
      </c>
      <c r="B46" s="151" t="s">
        <v>2055</v>
      </c>
    </row>
    <row r="47" spans="1:2" x14ac:dyDescent="0.25">
      <c r="B47" s="151" t="s">
        <v>2033</v>
      </c>
    </row>
    <row r="48" spans="1:2" ht="30" x14ac:dyDescent="0.25">
      <c r="B48" s="151" t="s">
        <v>2065</v>
      </c>
    </row>
    <row r="49" spans="1:2" x14ac:dyDescent="0.25">
      <c r="A49" s="73" t="s">
        <v>2074</v>
      </c>
      <c r="B49" s="151" t="s">
        <v>2075</v>
      </c>
    </row>
  </sheetData>
  <phoneticPr fontId="6" type="noConversion"/>
  <hyperlinks>
    <hyperlink ref="B3" r:id="rId1" xr:uid="{00000000-0004-0000-0000-000000000000}"/>
  </hyperlinks>
  <pageMargins left="0.75" right="0.75" top="1" bottom="1" header="0.5" footer="0.5"/>
  <pageSetup paperSize="9" orientation="portrait" horizontalDpi="4294967293" verticalDpi="4294967293" r:id="rId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41"/>
  </sheetPr>
  <dimension ref="A1:O35"/>
  <sheetViews>
    <sheetView workbookViewId="0">
      <selection activeCell="G1" sqref="G1"/>
    </sheetView>
  </sheetViews>
  <sheetFormatPr defaultRowHeight="15" x14ac:dyDescent="0.25"/>
  <cols>
    <col min="1" max="1" width="25" customWidth="1"/>
    <col min="2" max="2" width="10.5703125" customWidth="1"/>
    <col min="3" max="3" width="10.42578125" customWidth="1"/>
    <col min="4" max="4" width="11.42578125" customWidth="1"/>
    <col min="7" max="7" width="13.42578125" customWidth="1"/>
    <col min="8" max="8" width="5.42578125" customWidth="1"/>
    <col min="9" max="9" width="5.5703125" customWidth="1"/>
    <col min="10" max="10" width="5.140625" customWidth="1"/>
    <col min="11" max="11" width="4.85546875" customWidth="1"/>
    <col min="12" max="12" width="5.28515625" customWidth="1"/>
  </cols>
  <sheetData>
    <row r="1" spans="1:9" x14ac:dyDescent="0.25">
      <c r="A1" s="275" t="s">
        <v>1465</v>
      </c>
      <c r="B1" s="275"/>
      <c r="C1" s="275"/>
      <c r="D1" s="275"/>
      <c r="E1" s="275"/>
      <c r="F1" s="275"/>
      <c r="G1" s="222"/>
      <c r="H1" s="222"/>
      <c r="I1" s="222"/>
    </row>
    <row r="2" spans="1:9" x14ac:dyDescent="0.25">
      <c r="A2" s="136" t="s">
        <v>425</v>
      </c>
      <c r="B2" s="136" t="s">
        <v>426</v>
      </c>
      <c r="C2" s="276" t="s">
        <v>1693</v>
      </c>
      <c r="D2" s="276"/>
      <c r="E2" s="276"/>
      <c r="F2" s="276"/>
      <c r="G2" s="223"/>
      <c r="H2" s="223"/>
      <c r="I2" s="223"/>
    </row>
    <row r="3" spans="1:9" x14ac:dyDescent="0.25">
      <c r="A3" t="s">
        <v>427</v>
      </c>
      <c r="B3" s="73">
        <v>50</v>
      </c>
      <c r="C3" s="212" t="s">
        <v>428</v>
      </c>
      <c r="D3" s="212"/>
      <c r="E3" s="212"/>
      <c r="F3" s="212"/>
      <c r="G3" s="212"/>
      <c r="H3" s="212"/>
      <c r="I3" s="212"/>
    </row>
    <row r="4" spans="1:9" x14ac:dyDescent="0.25">
      <c r="A4" t="s">
        <v>429</v>
      </c>
      <c r="B4" s="73">
        <v>100</v>
      </c>
      <c r="C4" s="212" t="s">
        <v>430</v>
      </c>
      <c r="D4" s="212"/>
      <c r="E4" s="212"/>
      <c r="F4" s="212"/>
      <c r="G4" s="212"/>
      <c r="H4" s="212"/>
      <c r="I4" s="212"/>
    </row>
    <row r="5" spans="1:9" x14ac:dyDescent="0.25">
      <c r="A5" t="s">
        <v>431</v>
      </c>
      <c r="B5" s="73" t="s">
        <v>432</v>
      </c>
      <c r="C5" s="212" t="s">
        <v>433</v>
      </c>
      <c r="D5" s="212"/>
      <c r="E5" s="212"/>
      <c r="F5" s="212"/>
      <c r="G5" s="212"/>
      <c r="H5" s="212"/>
      <c r="I5" s="212"/>
    </row>
    <row r="6" spans="1:9" x14ac:dyDescent="0.25">
      <c r="A6" t="s">
        <v>434</v>
      </c>
      <c r="B6" s="73" t="s">
        <v>435</v>
      </c>
      <c r="C6" s="212" t="s">
        <v>436</v>
      </c>
      <c r="D6" s="212"/>
      <c r="E6" s="212"/>
      <c r="F6" s="212"/>
      <c r="G6" s="212"/>
      <c r="H6" s="212"/>
      <c r="I6" s="212"/>
    </row>
    <row r="7" spans="1:9" x14ac:dyDescent="0.25">
      <c r="A7" t="s">
        <v>437</v>
      </c>
      <c r="B7" s="73" t="s">
        <v>438</v>
      </c>
      <c r="C7" s="212" t="s">
        <v>439</v>
      </c>
      <c r="D7" s="212"/>
      <c r="E7" s="212"/>
      <c r="F7" s="212"/>
      <c r="G7" s="212"/>
      <c r="H7" s="212"/>
      <c r="I7" s="212"/>
    </row>
    <row r="8" spans="1:9" x14ac:dyDescent="0.25">
      <c r="A8" t="s">
        <v>440</v>
      </c>
      <c r="B8" s="73">
        <v>150</v>
      </c>
      <c r="C8" s="212" t="s">
        <v>441</v>
      </c>
      <c r="D8" s="212"/>
      <c r="E8" s="212"/>
      <c r="F8" s="212"/>
      <c r="G8" s="212"/>
      <c r="H8" s="212"/>
      <c r="I8" s="212"/>
    </row>
    <row r="9" spans="1:9" x14ac:dyDescent="0.25">
      <c r="A9" t="s">
        <v>442</v>
      </c>
      <c r="B9" s="73" t="s">
        <v>435</v>
      </c>
      <c r="C9" s="212" t="s">
        <v>443</v>
      </c>
      <c r="D9" s="212"/>
      <c r="E9" s="212"/>
      <c r="F9" s="212"/>
      <c r="G9" s="212"/>
      <c r="H9" s="212"/>
      <c r="I9" s="212"/>
    </row>
    <row r="10" spans="1:9" x14ac:dyDescent="0.25">
      <c r="A10" t="s">
        <v>444</v>
      </c>
      <c r="B10" s="73">
        <v>50</v>
      </c>
      <c r="C10" s="212" t="s">
        <v>445</v>
      </c>
      <c r="D10" s="212"/>
      <c r="E10" s="212"/>
      <c r="F10" s="212"/>
      <c r="G10" s="212"/>
      <c r="H10" s="212"/>
      <c r="I10" s="212"/>
    </row>
    <row r="11" spans="1:9" x14ac:dyDescent="0.25">
      <c r="A11" t="s">
        <v>446</v>
      </c>
      <c r="B11" s="73" t="s">
        <v>447</v>
      </c>
      <c r="C11" s="212" t="s">
        <v>448</v>
      </c>
      <c r="D11" s="212"/>
      <c r="E11" s="212"/>
      <c r="F11" s="212"/>
      <c r="G11" s="212"/>
      <c r="H11" s="212"/>
      <c r="I11" s="212"/>
    </row>
    <row r="13" spans="1:9" x14ac:dyDescent="0.25">
      <c r="A13" s="275" t="s">
        <v>1466</v>
      </c>
      <c r="B13" s="275"/>
      <c r="C13" s="275"/>
      <c r="D13" s="275"/>
      <c r="E13" s="275"/>
      <c r="F13" s="275"/>
    </row>
    <row r="14" spans="1:9" x14ac:dyDescent="0.25">
      <c r="A14" s="136" t="s">
        <v>449</v>
      </c>
      <c r="B14" s="136" t="s">
        <v>450</v>
      </c>
      <c r="C14" s="136" t="s">
        <v>451</v>
      </c>
      <c r="D14" s="136" t="s">
        <v>452</v>
      </c>
      <c r="E14" s="136" t="s">
        <v>453</v>
      </c>
      <c r="F14" s="136" t="s">
        <v>454</v>
      </c>
    </row>
    <row r="15" spans="1:9" x14ac:dyDescent="0.25">
      <c r="A15" t="s">
        <v>455</v>
      </c>
      <c r="B15">
        <v>150</v>
      </c>
      <c r="C15">
        <v>100</v>
      </c>
      <c r="D15">
        <v>75</v>
      </c>
      <c r="E15">
        <v>50</v>
      </c>
      <c r="F15">
        <v>25</v>
      </c>
    </row>
    <row r="16" spans="1:9" x14ac:dyDescent="0.25">
      <c r="A16" t="s">
        <v>1980</v>
      </c>
      <c r="B16">
        <v>100</v>
      </c>
      <c r="C16">
        <v>75</v>
      </c>
      <c r="D16">
        <v>50</v>
      </c>
      <c r="E16">
        <v>25</v>
      </c>
      <c r="F16">
        <v>25</v>
      </c>
    </row>
    <row r="17" spans="1:15" x14ac:dyDescent="0.25">
      <c r="A17" t="s">
        <v>1981</v>
      </c>
      <c r="B17">
        <v>75</v>
      </c>
      <c r="C17">
        <v>50</v>
      </c>
      <c r="D17">
        <v>25</v>
      </c>
      <c r="E17">
        <v>25</v>
      </c>
      <c r="F17">
        <v>25</v>
      </c>
    </row>
    <row r="18" spans="1:15" x14ac:dyDescent="0.25">
      <c r="A18" t="s">
        <v>1982</v>
      </c>
      <c r="B18">
        <v>50</v>
      </c>
      <c r="C18">
        <v>25</v>
      </c>
      <c r="D18">
        <v>25</v>
      </c>
      <c r="E18">
        <v>25</v>
      </c>
      <c r="F18">
        <v>25</v>
      </c>
    </row>
    <row r="19" spans="1:15" x14ac:dyDescent="0.25">
      <c r="A19" t="s">
        <v>1983</v>
      </c>
      <c r="B19">
        <v>15</v>
      </c>
      <c r="C19">
        <v>15</v>
      </c>
      <c r="D19">
        <v>15</v>
      </c>
      <c r="E19">
        <v>15</v>
      </c>
      <c r="F19">
        <v>15</v>
      </c>
    </row>
    <row r="21" spans="1:15" x14ac:dyDescent="0.25">
      <c r="A21" s="275" t="s">
        <v>1489</v>
      </c>
      <c r="B21" s="275"/>
      <c r="C21" s="275"/>
      <c r="D21" s="275"/>
      <c r="E21" s="275"/>
      <c r="F21" s="275"/>
    </row>
    <row r="22" spans="1:15" x14ac:dyDescent="0.25">
      <c r="A22" t="s">
        <v>1490</v>
      </c>
      <c r="B22" s="277" t="s">
        <v>1498</v>
      </c>
      <c r="C22" s="277"/>
      <c r="D22" s="277"/>
      <c r="E22" s="277"/>
      <c r="F22" s="277"/>
      <c r="G22" s="277"/>
      <c r="H22" s="277"/>
      <c r="I22" s="277"/>
      <c r="J22" s="277"/>
      <c r="K22" s="277"/>
      <c r="L22" s="277"/>
      <c r="M22" s="277"/>
      <c r="N22" s="210"/>
      <c r="O22" s="210"/>
    </row>
    <row r="23" spans="1:15" x14ac:dyDescent="0.25">
      <c r="A23" t="s">
        <v>1491</v>
      </c>
      <c r="B23" s="277" t="s">
        <v>1495</v>
      </c>
      <c r="C23" s="277"/>
      <c r="D23" s="277"/>
      <c r="E23" s="277"/>
      <c r="F23" s="277"/>
      <c r="G23" s="277"/>
      <c r="H23" s="277"/>
      <c r="I23" s="277"/>
      <c r="J23" s="277"/>
      <c r="K23" s="277"/>
      <c r="L23" s="277"/>
      <c r="M23" s="277"/>
      <c r="N23" s="210"/>
      <c r="O23" s="210"/>
    </row>
    <row r="24" spans="1:15" x14ac:dyDescent="0.25">
      <c r="A24" t="s">
        <v>1492</v>
      </c>
      <c r="B24" s="277" t="s">
        <v>1496</v>
      </c>
      <c r="C24" s="277"/>
      <c r="D24" s="277"/>
      <c r="E24" s="277"/>
      <c r="F24" s="277"/>
      <c r="G24" s="277"/>
      <c r="H24" s="277"/>
      <c r="I24" s="277"/>
      <c r="J24" s="277"/>
      <c r="K24" s="277"/>
      <c r="L24" s="277"/>
      <c r="M24" s="277"/>
      <c r="N24" s="210"/>
      <c r="O24" s="210"/>
    </row>
    <row r="25" spans="1:15" x14ac:dyDescent="0.25">
      <c r="A25" t="s">
        <v>1493</v>
      </c>
      <c r="B25" s="277" t="s">
        <v>1499</v>
      </c>
      <c r="C25" s="277"/>
      <c r="D25" s="277"/>
      <c r="E25" s="277"/>
      <c r="F25" s="277"/>
      <c r="G25" s="277"/>
      <c r="H25" s="277"/>
      <c r="I25" s="277"/>
      <c r="J25" s="277"/>
      <c r="K25" s="277"/>
      <c r="L25" s="277"/>
      <c r="M25" s="277"/>
      <c r="N25" s="210"/>
      <c r="O25" s="210"/>
    </row>
    <row r="26" spans="1:15" x14ac:dyDescent="0.25">
      <c r="A26" t="s">
        <v>1494</v>
      </c>
      <c r="B26" s="277" t="s">
        <v>1497</v>
      </c>
      <c r="C26" s="277"/>
      <c r="D26" s="277"/>
      <c r="E26" s="277"/>
      <c r="F26" s="277"/>
      <c r="G26" s="277"/>
      <c r="H26" s="277"/>
      <c r="I26" s="277"/>
      <c r="J26" s="277"/>
      <c r="K26" s="277"/>
      <c r="L26" s="277"/>
      <c r="M26" s="277"/>
      <c r="N26" s="210"/>
      <c r="O26" s="210"/>
    </row>
    <row r="28" spans="1:15" x14ac:dyDescent="0.25">
      <c r="A28" s="275" t="s">
        <v>1460</v>
      </c>
      <c r="B28" s="275"/>
      <c r="C28" s="275"/>
      <c r="D28" s="275"/>
      <c r="E28" s="275"/>
      <c r="F28" s="275"/>
    </row>
    <row r="29" spans="1:15" x14ac:dyDescent="0.25">
      <c r="A29" s="136" t="s">
        <v>1467</v>
      </c>
      <c r="B29" s="136" t="s">
        <v>1461</v>
      </c>
      <c r="C29" s="136"/>
      <c r="D29" s="136" t="s">
        <v>1464</v>
      </c>
      <c r="E29" s="136"/>
      <c r="F29" s="221"/>
    </row>
    <row r="30" spans="1:15" x14ac:dyDescent="0.25">
      <c r="A30">
        <v>1</v>
      </c>
      <c r="B30" s="279" t="s">
        <v>1468</v>
      </c>
      <c r="C30" s="279"/>
      <c r="D30" s="279"/>
      <c r="E30" s="208">
        <v>1</v>
      </c>
    </row>
    <row r="31" spans="1:15" x14ac:dyDescent="0.25">
      <c r="A31">
        <v>2</v>
      </c>
      <c r="B31" t="s">
        <v>1462</v>
      </c>
      <c r="E31" s="208">
        <v>0.5</v>
      </c>
    </row>
    <row r="32" spans="1:15" x14ac:dyDescent="0.25">
      <c r="A32">
        <v>3</v>
      </c>
      <c r="B32" t="s">
        <v>1463</v>
      </c>
      <c r="E32" s="208">
        <v>0.25</v>
      </c>
    </row>
    <row r="34" spans="1:6" x14ac:dyDescent="0.25">
      <c r="A34" s="278" t="s">
        <v>1984</v>
      </c>
      <c r="B34" s="278"/>
      <c r="C34" s="278"/>
      <c r="D34" s="278"/>
      <c r="E34" s="278"/>
      <c r="F34" s="278"/>
    </row>
    <row r="35" spans="1:6" x14ac:dyDescent="0.25">
      <c r="A35" t="s">
        <v>1985</v>
      </c>
    </row>
  </sheetData>
  <mergeCells count="12">
    <mergeCell ref="A34:F34"/>
    <mergeCell ref="A28:F28"/>
    <mergeCell ref="B30:D30"/>
    <mergeCell ref="B23:M23"/>
    <mergeCell ref="B24:M24"/>
    <mergeCell ref="B25:M25"/>
    <mergeCell ref="B26:M26"/>
    <mergeCell ref="A13:F13"/>
    <mergeCell ref="A1:F1"/>
    <mergeCell ref="C2:F2"/>
    <mergeCell ref="B22:M22"/>
    <mergeCell ref="A21:F21"/>
  </mergeCells>
  <phoneticPr fontId="6" type="noConversion"/>
  <pageMargins left="0.75" right="0.75" top="1" bottom="1" header="0.5" footer="0.5"/>
  <pageSetup paperSize="9" orientation="portrait" horizontalDpi="4294967293" verticalDpi="4294967293"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indexed="41"/>
  </sheetPr>
  <dimension ref="A1:I82"/>
  <sheetViews>
    <sheetView topLeftCell="A37" workbookViewId="0">
      <selection activeCell="A2" sqref="A2"/>
    </sheetView>
  </sheetViews>
  <sheetFormatPr defaultRowHeight="15" x14ac:dyDescent="0.25"/>
  <cols>
    <col min="1" max="1" width="28.7109375" customWidth="1"/>
    <col min="3" max="3" width="20.7109375" bestFit="1" customWidth="1"/>
    <col min="5" max="5" width="20.140625" bestFit="1" customWidth="1"/>
    <col min="6" max="6" width="9.28515625" customWidth="1"/>
    <col min="7" max="7" width="44" bestFit="1" customWidth="1"/>
    <col min="9" max="9" width="20.5703125" customWidth="1"/>
  </cols>
  <sheetData>
    <row r="1" spans="1:9" x14ac:dyDescent="0.25">
      <c r="A1" t="s">
        <v>369</v>
      </c>
    </row>
    <row r="2" spans="1:9" x14ac:dyDescent="0.25">
      <c r="A2" s="188" t="s">
        <v>806</v>
      </c>
      <c r="C2" s="188" t="s">
        <v>419</v>
      </c>
      <c r="E2" s="188" t="s">
        <v>1087</v>
      </c>
      <c r="G2" s="188" t="s">
        <v>527</v>
      </c>
      <c r="I2" s="188" t="s">
        <v>1096</v>
      </c>
    </row>
    <row r="3" spans="1:9" x14ac:dyDescent="0.25">
      <c r="A3" s="189" t="s">
        <v>856</v>
      </c>
      <c r="C3" s="137" t="s">
        <v>529</v>
      </c>
      <c r="E3" s="137" t="s">
        <v>365</v>
      </c>
      <c r="G3" s="137" t="s">
        <v>490</v>
      </c>
      <c r="I3" t="s">
        <v>2052</v>
      </c>
    </row>
    <row r="4" spans="1:9" x14ac:dyDescent="0.25">
      <c r="A4" t="s">
        <v>194</v>
      </c>
      <c r="C4" t="s">
        <v>537</v>
      </c>
      <c r="E4" t="s">
        <v>368</v>
      </c>
      <c r="G4" t="s">
        <v>492</v>
      </c>
      <c r="I4" t="s">
        <v>2053</v>
      </c>
    </row>
    <row r="5" spans="1:9" x14ac:dyDescent="0.25">
      <c r="A5" t="s">
        <v>195</v>
      </c>
      <c r="C5" t="s">
        <v>532</v>
      </c>
      <c r="E5" t="s">
        <v>366</v>
      </c>
      <c r="G5" t="s">
        <v>493</v>
      </c>
      <c r="I5" t="s">
        <v>2054</v>
      </c>
    </row>
    <row r="6" spans="1:9" x14ac:dyDescent="0.25">
      <c r="C6" t="s">
        <v>530</v>
      </c>
      <c r="E6" t="s">
        <v>376</v>
      </c>
      <c r="G6" t="s">
        <v>494</v>
      </c>
    </row>
    <row r="7" spans="1:9" x14ac:dyDescent="0.25">
      <c r="A7" s="189" t="s">
        <v>1920</v>
      </c>
      <c r="C7" t="s">
        <v>400</v>
      </c>
      <c r="E7" t="s">
        <v>367</v>
      </c>
      <c r="G7" t="s">
        <v>495</v>
      </c>
    </row>
    <row r="8" spans="1:9" x14ac:dyDescent="0.25">
      <c r="A8" s="190" t="s">
        <v>1329</v>
      </c>
      <c r="C8" t="s">
        <v>399</v>
      </c>
      <c r="G8" t="s">
        <v>496</v>
      </c>
    </row>
    <row r="9" spans="1:9" x14ac:dyDescent="0.25">
      <c r="A9" t="s">
        <v>1925</v>
      </c>
      <c r="C9" t="s">
        <v>533</v>
      </c>
      <c r="E9" s="137" t="s">
        <v>374</v>
      </c>
      <c r="G9" t="s">
        <v>491</v>
      </c>
    </row>
    <row r="10" spans="1:9" x14ac:dyDescent="0.25">
      <c r="A10" t="s">
        <v>1921</v>
      </c>
      <c r="C10" t="s">
        <v>535</v>
      </c>
      <c r="E10" t="s">
        <v>375</v>
      </c>
    </row>
    <row r="11" spans="1:9" x14ac:dyDescent="0.25">
      <c r="A11" t="s">
        <v>850</v>
      </c>
      <c r="C11" t="s">
        <v>534</v>
      </c>
      <c r="E11" t="s">
        <v>373</v>
      </c>
      <c r="G11" s="137" t="s">
        <v>505</v>
      </c>
    </row>
    <row r="12" spans="1:9" x14ac:dyDescent="0.25">
      <c r="A12" t="s">
        <v>851</v>
      </c>
      <c r="C12" t="s">
        <v>522</v>
      </c>
      <c r="E12" t="s">
        <v>372</v>
      </c>
      <c r="G12" t="s">
        <v>509</v>
      </c>
    </row>
    <row r="13" spans="1:9" x14ac:dyDescent="0.25">
      <c r="A13" t="s">
        <v>853</v>
      </c>
      <c r="C13" t="s">
        <v>531</v>
      </c>
      <c r="E13" t="s">
        <v>371</v>
      </c>
      <c r="G13" t="s">
        <v>517</v>
      </c>
    </row>
    <row r="14" spans="1:9" x14ac:dyDescent="0.25">
      <c r="A14" t="s">
        <v>852</v>
      </c>
      <c r="C14" t="s">
        <v>536</v>
      </c>
      <c r="E14" t="s">
        <v>370</v>
      </c>
      <c r="G14" t="s">
        <v>507</v>
      </c>
    </row>
    <row r="15" spans="1:9" x14ac:dyDescent="0.25">
      <c r="A15" t="s">
        <v>1922</v>
      </c>
      <c r="G15" t="s">
        <v>515</v>
      </c>
    </row>
    <row r="16" spans="1:9" x14ac:dyDescent="0.25">
      <c r="A16" t="s">
        <v>1923</v>
      </c>
      <c r="C16" s="137" t="s">
        <v>402</v>
      </c>
      <c r="E16" s="137" t="s">
        <v>379</v>
      </c>
      <c r="G16" t="s">
        <v>516</v>
      </c>
    </row>
    <row r="17" spans="1:7" x14ac:dyDescent="0.25">
      <c r="A17" t="s">
        <v>1924</v>
      </c>
      <c r="C17" t="s">
        <v>404</v>
      </c>
      <c r="E17" t="s">
        <v>382</v>
      </c>
      <c r="G17" t="s">
        <v>513</v>
      </c>
    </row>
    <row r="18" spans="1:7" x14ac:dyDescent="0.25">
      <c r="A18" t="s">
        <v>854</v>
      </c>
      <c r="C18" t="s">
        <v>409</v>
      </c>
      <c r="E18" t="s">
        <v>380</v>
      </c>
      <c r="G18" t="s">
        <v>512</v>
      </c>
    </row>
    <row r="19" spans="1:7" x14ac:dyDescent="0.25">
      <c r="C19" t="s">
        <v>408</v>
      </c>
      <c r="E19" t="s">
        <v>383</v>
      </c>
      <c r="G19" t="s">
        <v>510</v>
      </c>
    </row>
    <row r="20" spans="1:7" x14ac:dyDescent="0.25">
      <c r="A20" s="190" t="s">
        <v>1330</v>
      </c>
      <c r="C20" t="s">
        <v>1591</v>
      </c>
      <c r="E20" t="s">
        <v>381</v>
      </c>
      <c r="G20" t="s">
        <v>508</v>
      </c>
    </row>
    <row r="21" spans="1:7" x14ac:dyDescent="0.25">
      <c r="A21" t="s">
        <v>1331</v>
      </c>
      <c r="C21" t="s">
        <v>407</v>
      </c>
      <c r="G21" t="s">
        <v>511</v>
      </c>
    </row>
    <row r="22" spans="1:7" x14ac:dyDescent="0.25">
      <c r="A22" t="s">
        <v>1332</v>
      </c>
      <c r="C22" t="s">
        <v>406</v>
      </c>
      <c r="E22" s="137" t="s">
        <v>378</v>
      </c>
      <c r="G22" t="s">
        <v>506</v>
      </c>
    </row>
    <row r="23" spans="1:7" x14ac:dyDescent="0.25">
      <c r="A23" t="s">
        <v>1335</v>
      </c>
      <c r="C23" t="s">
        <v>522</v>
      </c>
      <c r="E23" t="s">
        <v>390</v>
      </c>
      <c r="G23" t="s">
        <v>514</v>
      </c>
    </row>
    <row r="24" spans="1:7" x14ac:dyDescent="0.25">
      <c r="A24" t="s">
        <v>1333</v>
      </c>
      <c r="C24" t="s">
        <v>403</v>
      </c>
      <c r="E24" t="s">
        <v>384</v>
      </c>
    </row>
    <row r="25" spans="1:7" x14ac:dyDescent="0.25">
      <c r="A25" t="s">
        <v>1337</v>
      </c>
      <c r="C25" t="s">
        <v>405</v>
      </c>
      <c r="E25" t="s">
        <v>389</v>
      </c>
      <c r="G25" s="137" t="s">
        <v>1886</v>
      </c>
    </row>
    <row r="26" spans="1:7" x14ac:dyDescent="0.25">
      <c r="A26" t="s">
        <v>1334</v>
      </c>
      <c r="E26" t="s">
        <v>386</v>
      </c>
      <c r="G26" t="s">
        <v>1961</v>
      </c>
    </row>
    <row r="27" spans="1:7" x14ac:dyDescent="0.25">
      <c r="A27" t="s">
        <v>1336</v>
      </c>
      <c r="C27" s="137" t="s">
        <v>1592</v>
      </c>
      <c r="E27" t="s">
        <v>387</v>
      </c>
      <c r="G27" t="s">
        <v>1965</v>
      </c>
    </row>
    <row r="28" spans="1:7" x14ac:dyDescent="0.25">
      <c r="C28" t="s">
        <v>1598</v>
      </c>
      <c r="E28" t="s">
        <v>392</v>
      </c>
      <c r="G28" t="s">
        <v>1966</v>
      </c>
    </row>
    <row r="29" spans="1:7" x14ac:dyDescent="0.25">
      <c r="A29" s="190" t="s">
        <v>1338</v>
      </c>
      <c r="C29" t="s">
        <v>1595</v>
      </c>
      <c r="E29" t="s">
        <v>385</v>
      </c>
      <c r="G29" t="s">
        <v>1964</v>
      </c>
    </row>
    <row r="30" spans="1:7" x14ac:dyDescent="0.25">
      <c r="A30" t="s">
        <v>1344</v>
      </c>
      <c r="C30" t="s">
        <v>1593</v>
      </c>
      <c r="E30" t="s">
        <v>391</v>
      </c>
      <c r="G30" t="s">
        <v>1959</v>
      </c>
    </row>
    <row r="31" spans="1:7" x14ac:dyDescent="0.25">
      <c r="A31" t="s">
        <v>1342</v>
      </c>
      <c r="C31" t="s">
        <v>1597</v>
      </c>
      <c r="E31" t="s">
        <v>388</v>
      </c>
      <c r="G31" t="s">
        <v>1962</v>
      </c>
    </row>
    <row r="32" spans="1:7" x14ac:dyDescent="0.25">
      <c r="A32" t="s">
        <v>1339</v>
      </c>
      <c r="C32" t="s">
        <v>1596</v>
      </c>
      <c r="G32" t="s">
        <v>1960</v>
      </c>
    </row>
    <row r="33" spans="1:7" x14ac:dyDescent="0.25">
      <c r="A33" t="s">
        <v>1343</v>
      </c>
      <c r="C33" t="s">
        <v>1594</v>
      </c>
      <c r="E33" s="137" t="s">
        <v>377</v>
      </c>
    </row>
    <row r="34" spans="1:7" x14ac:dyDescent="0.25">
      <c r="A34" t="s">
        <v>1341</v>
      </c>
      <c r="E34" t="s">
        <v>393</v>
      </c>
      <c r="G34" s="137" t="s">
        <v>838</v>
      </c>
    </row>
    <row r="35" spans="1:7" x14ac:dyDescent="0.25">
      <c r="A35" t="s">
        <v>1345</v>
      </c>
      <c r="C35" s="137" t="s">
        <v>1762</v>
      </c>
      <c r="E35" t="s">
        <v>395</v>
      </c>
      <c r="G35" t="s">
        <v>847</v>
      </c>
    </row>
    <row r="36" spans="1:7" x14ac:dyDescent="0.25">
      <c r="A36" t="s">
        <v>1340</v>
      </c>
      <c r="C36" s="198" t="s">
        <v>397</v>
      </c>
      <c r="E36" t="s">
        <v>394</v>
      </c>
      <c r="G36" t="s">
        <v>842</v>
      </c>
    </row>
    <row r="37" spans="1:7" x14ac:dyDescent="0.25">
      <c r="C37" s="198" t="s">
        <v>398</v>
      </c>
      <c r="E37" t="s">
        <v>396</v>
      </c>
      <c r="G37" t="s">
        <v>841</v>
      </c>
    </row>
    <row r="38" spans="1:7" x14ac:dyDescent="0.25">
      <c r="A38" s="189" t="s">
        <v>1952</v>
      </c>
      <c r="G38" t="s">
        <v>839</v>
      </c>
    </row>
    <row r="39" spans="1:7" x14ac:dyDescent="0.25">
      <c r="A39" t="s">
        <v>1953</v>
      </c>
      <c r="G39" t="s">
        <v>843</v>
      </c>
    </row>
    <row r="40" spans="1:7" x14ac:dyDescent="0.25">
      <c r="A40" t="s">
        <v>1954</v>
      </c>
      <c r="G40" t="s">
        <v>846</v>
      </c>
    </row>
    <row r="41" spans="1:7" x14ac:dyDescent="0.25">
      <c r="A41" t="s">
        <v>1955</v>
      </c>
      <c r="G41" t="s">
        <v>482</v>
      </c>
    </row>
    <row r="42" spans="1:7" x14ac:dyDescent="0.25">
      <c r="A42" t="s">
        <v>1956</v>
      </c>
      <c r="G42" t="s">
        <v>844</v>
      </c>
    </row>
    <row r="43" spans="1:7" x14ac:dyDescent="0.25">
      <c r="A43" t="s">
        <v>1957</v>
      </c>
      <c r="G43" t="s">
        <v>483</v>
      </c>
    </row>
    <row r="44" spans="1:7" x14ac:dyDescent="0.25">
      <c r="A44" t="s">
        <v>1958</v>
      </c>
      <c r="G44" t="s">
        <v>845</v>
      </c>
    </row>
    <row r="45" spans="1:7" x14ac:dyDescent="0.25">
      <c r="G45" t="s">
        <v>840</v>
      </c>
    </row>
    <row r="46" spans="1:7" x14ac:dyDescent="0.25">
      <c r="A46" s="137" t="s">
        <v>1736</v>
      </c>
    </row>
    <row r="47" spans="1:7" x14ac:dyDescent="0.25">
      <c r="A47" t="s">
        <v>1739</v>
      </c>
      <c r="G47" s="137" t="s">
        <v>518</v>
      </c>
    </row>
    <row r="48" spans="1:7" x14ac:dyDescent="0.25">
      <c r="A48" t="s">
        <v>1740</v>
      </c>
      <c r="G48" t="s">
        <v>519</v>
      </c>
    </row>
    <row r="49" spans="1:7" x14ac:dyDescent="0.25">
      <c r="A49" t="s">
        <v>1741</v>
      </c>
      <c r="G49" t="s">
        <v>523</v>
      </c>
    </row>
    <row r="50" spans="1:7" x14ac:dyDescent="0.25">
      <c r="A50" t="s">
        <v>1742</v>
      </c>
      <c r="G50" t="s">
        <v>1242</v>
      </c>
    </row>
    <row r="51" spans="1:7" x14ac:dyDescent="0.25">
      <c r="A51" t="s">
        <v>1743</v>
      </c>
      <c r="G51" t="s">
        <v>520</v>
      </c>
    </row>
    <row r="52" spans="1:7" x14ac:dyDescent="0.25">
      <c r="A52" t="s">
        <v>1755</v>
      </c>
      <c r="G52" t="s">
        <v>521</v>
      </c>
    </row>
    <row r="53" spans="1:7" x14ac:dyDescent="0.25">
      <c r="A53" t="s">
        <v>1737</v>
      </c>
      <c r="G53" t="s">
        <v>526</v>
      </c>
    </row>
    <row r="54" spans="1:7" x14ac:dyDescent="0.25">
      <c r="A54" t="s">
        <v>1752</v>
      </c>
      <c r="G54" t="s">
        <v>522</v>
      </c>
    </row>
    <row r="55" spans="1:7" x14ac:dyDescent="0.25">
      <c r="A55" t="s">
        <v>1744</v>
      </c>
      <c r="G55" t="s">
        <v>525</v>
      </c>
    </row>
    <row r="56" spans="1:7" x14ac:dyDescent="0.25">
      <c r="A56" t="s">
        <v>1746</v>
      </c>
      <c r="G56" t="s">
        <v>524</v>
      </c>
    </row>
    <row r="57" spans="1:7" x14ac:dyDescent="0.25">
      <c r="A57" t="s">
        <v>1747</v>
      </c>
    </row>
    <row r="58" spans="1:7" x14ac:dyDescent="0.25">
      <c r="A58" t="s">
        <v>1748</v>
      </c>
      <c r="G58" s="137" t="s">
        <v>484</v>
      </c>
    </row>
    <row r="59" spans="1:7" x14ac:dyDescent="0.25">
      <c r="A59" t="s">
        <v>1745</v>
      </c>
      <c r="G59" t="s">
        <v>487</v>
      </c>
    </row>
    <row r="60" spans="1:7" x14ac:dyDescent="0.25">
      <c r="A60" t="s">
        <v>1749</v>
      </c>
      <c r="G60" t="s">
        <v>485</v>
      </c>
    </row>
    <row r="61" spans="1:7" x14ac:dyDescent="0.25">
      <c r="A61" t="s">
        <v>1750</v>
      </c>
      <c r="G61" t="s">
        <v>488</v>
      </c>
    </row>
    <row r="62" spans="1:7" x14ac:dyDescent="0.25">
      <c r="A62" t="s">
        <v>1738</v>
      </c>
      <c r="G62" t="s">
        <v>486</v>
      </c>
    </row>
    <row r="63" spans="1:7" x14ac:dyDescent="0.25">
      <c r="A63" t="s">
        <v>1753</v>
      </c>
      <c r="G63" t="s">
        <v>489</v>
      </c>
    </row>
    <row r="64" spans="1:7" x14ac:dyDescent="0.25">
      <c r="A64" t="s">
        <v>1751</v>
      </c>
    </row>
    <row r="65" spans="1:7" x14ac:dyDescent="0.25">
      <c r="A65" t="s">
        <v>1754</v>
      </c>
      <c r="G65" s="137" t="s">
        <v>497</v>
      </c>
    </row>
    <row r="66" spans="1:7" x14ac:dyDescent="0.25">
      <c r="A66" t="s">
        <v>1756</v>
      </c>
      <c r="G66" t="s">
        <v>500</v>
      </c>
    </row>
    <row r="67" spans="1:7" x14ac:dyDescent="0.25">
      <c r="A67" t="s">
        <v>1757</v>
      </c>
      <c r="G67" t="s">
        <v>498</v>
      </c>
    </row>
    <row r="68" spans="1:7" x14ac:dyDescent="0.25">
      <c r="A68" t="s">
        <v>1758</v>
      </c>
      <c r="G68" t="s">
        <v>503</v>
      </c>
    </row>
    <row r="69" spans="1:7" x14ac:dyDescent="0.25">
      <c r="A69" t="s">
        <v>1759</v>
      </c>
      <c r="G69" t="s">
        <v>499</v>
      </c>
    </row>
    <row r="70" spans="1:7" x14ac:dyDescent="0.25">
      <c r="A70" t="s">
        <v>1760</v>
      </c>
      <c r="G70" t="s">
        <v>504</v>
      </c>
    </row>
    <row r="71" spans="1:7" x14ac:dyDescent="0.25">
      <c r="A71" t="s">
        <v>1761</v>
      </c>
      <c r="G71" t="s">
        <v>1963</v>
      </c>
    </row>
    <row r="72" spans="1:7" x14ac:dyDescent="0.25">
      <c r="G72" t="s">
        <v>502</v>
      </c>
    </row>
    <row r="73" spans="1:7" x14ac:dyDescent="0.25">
      <c r="G73" t="s">
        <v>501</v>
      </c>
    </row>
    <row r="75" spans="1:7" x14ac:dyDescent="0.25">
      <c r="G75" s="137" t="s">
        <v>830</v>
      </c>
    </row>
    <row r="76" spans="1:7" x14ac:dyDescent="0.25">
      <c r="G76" t="s">
        <v>835</v>
      </c>
    </row>
    <row r="77" spans="1:7" x14ac:dyDescent="0.25">
      <c r="G77" t="s">
        <v>832</v>
      </c>
    </row>
    <row r="78" spans="1:7" x14ac:dyDescent="0.25">
      <c r="G78" t="s">
        <v>834</v>
      </c>
    </row>
    <row r="79" spans="1:7" x14ac:dyDescent="0.25">
      <c r="G79" t="s">
        <v>833</v>
      </c>
    </row>
    <row r="80" spans="1:7" x14ac:dyDescent="0.25">
      <c r="G80" t="s">
        <v>836</v>
      </c>
    </row>
    <row r="81" spans="7:7" x14ac:dyDescent="0.25">
      <c r="G81" t="s">
        <v>831</v>
      </c>
    </row>
    <row r="82" spans="7:7" x14ac:dyDescent="0.25">
      <c r="G82" t="s">
        <v>837</v>
      </c>
    </row>
  </sheetData>
  <phoneticPr fontId="6" type="noConversion"/>
  <pageMargins left="0.75" right="0.75" top="1" bottom="1" header="0.5" footer="0.5"/>
  <pageSetup paperSize="9" orientation="portrait" verticalDpi="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indexed="41"/>
  </sheetPr>
  <dimension ref="A1:F13"/>
  <sheetViews>
    <sheetView workbookViewId="0"/>
  </sheetViews>
  <sheetFormatPr defaultColWidth="9.140625" defaultRowHeight="15" x14ac:dyDescent="0.25"/>
  <cols>
    <col min="1" max="1" width="9.140625" style="147"/>
    <col min="2" max="2" width="12.42578125" style="147" customWidth="1"/>
    <col min="3" max="3" width="12.7109375" style="147" customWidth="1"/>
    <col min="4" max="4" width="9.140625" style="147"/>
    <col min="5" max="5" width="13" style="147" customWidth="1"/>
    <col min="6" max="6" width="11.28515625" style="147" customWidth="1"/>
    <col min="7" max="16384" width="9.140625" style="147"/>
  </cols>
  <sheetData>
    <row r="1" spans="1:6" x14ac:dyDescent="0.25">
      <c r="A1" s="159" t="s">
        <v>156</v>
      </c>
      <c r="B1" s="157" t="s">
        <v>122</v>
      </c>
      <c r="C1" s="157" t="s">
        <v>123</v>
      </c>
      <c r="D1" s="159"/>
      <c r="E1" s="157" t="s">
        <v>122</v>
      </c>
      <c r="F1" s="157" t="s">
        <v>124</v>
      </c>
    </row>
    <row r="2" spans="1:6" x14ac:dyDescent="0.25">
      <c r="A2" s="147">
        <v>0</v>
      </c>
      <c r="B2" s="162" t="s">
        <v>125</v>
      </c>
      <c r="C2" s="158" t="s">
        <v>126</v>
      </c>
      <c r="E2" s="160" t="s">
        <v>127</v>
      </c>
      <c r="F2" s="158">
        <v>0</v>
      </c>
    </row>
    <row r="3" spans="1:6" x14ac:dyDescent="0.25">
      <c r="A3" s="147">
        <v>1</v>
      </c>
      <c r="B3" s="161" t="s">
        <v>128</v>
      </c>
      <c r="C3" s="158" t="s">
        <v>129</v>
      </c>
      <c r="E3" s="161" t="s">
        <v>130</v>
      </c>
      <c r="F3" s="158">
        <v>1</v>
      </c>
    </row>
    <row r="4" spans="1:6" x14ac:dyDescent="0.25">
      <c r="A4" s="147">
        <v>2</v>
      </c>
      <c r="B4" s="161" t="s">
        <v>131</v>
      </c>
      <c r="C4" s="158" t="s">
        <v>132</v>
      </c>
      <c r="E4" s="161" t="s">
        <v>133</v>
      </c>
      <c r="F4" s="158">
        <v>2</v>
      </c>
    </row>
    <row r="5" spans="1:6" x14ac:dyDescent="0.25">
      <c r="A5" s="147">
        <v>3</v>
      </c>
      <c r="B5" s="162" t="s">
        <v>134</v>
      </c>
      <c r="C5" s="158" t="s">
        <v>135</v>
      </c>
      <c r="E5" s="162" t="s">
        <v>136</v>
      </c>
      <c r="F5" s="158">
        <v>3</v>
      </c>
    </row>
    <row r="6" spans="1:6" x14ac:dyDescent="0.25">
      <c r="A6" s="147">
        <v>4</v>
      </c>
      <c r="B6" s="162" t="s">
        <v>137</v>
      </c>
      <c r="C6" s="158" t="s">
        <v>138</v>
      </c>
      <c r="E6" s="162" t="s">
        <v>139</v>
      </c>
      <c r="F6" s="158">
        <v>4</v>
      </c>
    </row>
    <row r="7" spans="1:6" x14ac:dyDescent="0.25">
      <c r="A7" s="147">
        <v>5</v>
      </c>
      <c r="B7" s="162" t="s">
        <v>140</v>
      </c>
      <c r="C7" s="158" t="s">
        <v>141</v>
      </c>
      <c r="E7" s="162" t="s">
        <v>142</v>
      </c>
      <c r="F7" s="158">
        <v>5</v>
      </c>
    </row>
    <row r="8" spans="1:6" x14ac:dyDescent="0.25">
      <c r="A8" s="147">
        <v>6</v>
      </c>
      <c r="B8" s="162" t="s">
        <v>143</v>
      </c>
      <c r="C8" s="158" t="s">
        <v>144</v>
      </c>
      <c r="E8" s="162" t="s">
        <v>145</v>
      </c>
      <c r="F8" s="158">
        <v>6</v>
      </c>
    </row>
    <row r="9" spans="1:6" x14ac:dyDescent="0.25">
      <c r="A9" s="147">
        <v>7</v>
      </c>
      <c r="B9" s="162" t="s">
        <v>146</v>
      </c>
      <c r="C9" s="158" t="s">
        <v>147</v>
      </c>
      <c r="E9" s="162" t="s">
        <v>148</v>
      </c>
      <c r="F9" s="158">
        <v>7</v>
      </c>
    </row>
    <row r="10" spans="1:6" x14ac:dyDescent="0.25">
      <c r="A10" s="147">
        <v>8</v>
      </c>
      <c r="B10" s="162" t="s">
        <v>149</v>
      </c>
      <c r="C10" s="158" t="s">
        <v>150</v>
      </c>
      <c r="E10" s="162" t="s">
        <v>151</v>
      </c>
      <c r="F10" s="158">
        <v>8</v>
      </c>
    </row>
    <row r="11" spans="1:6" x14ac:dyDescent="0.25">
      <c r="A11" s="147">
        <v>9</v>
      </c>
      <c r="B11" s="162" t="s">
        <v>152</v>
      </c>
      <c r="C11" s="158" t="s">
        <v>153</v>
      </c>
      <c r="E11" s="160">
        <v>32</v>
      </c>
      <c r="F11" s="158">
        <v>9</v>
      </c>
    </row>
    <row r="12" spans="1:6" x14ac:dyDescent="0.25">
      <c r="A12" s="147">
        <v>10</v>
      </c>
      <c r="B12" s="162" t="s">
        <v>154</v>
      </c>
      <c r="C12" s="158" t="s">
        <v>155</v>
      </c>
      <c r="E12" s="160">
        <v>33</v>
      </c>
      <c r="F12" s="158">
        <v>10</v>
      </c>
    </row>
    <row r="13" spans="1:6" x14ac:dyDescent="0.25">
      <c r="A13" s="163" t="s">
        <v>159</v>
      </c>
      <c r="E13" s="162" t="s">
        <v>157</v>
      </c>
      <c r="F13" s="164" t="s">
        <v>158</v>
      </c>
    </row>
  </sheetData>
  <phoneticPr fontId="6" type="noConversion"/>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48731-E8F5-46A1-B191-C266082DB0D9}">
  <sheetPr>
    <tabColor rgb="FF800000"/>
  </sheetPr>
  <dimension ref="A1:E22"/>
  <sheetViews>
    <sheetView workbookViewId="0">
      <selection activeCell="A2" sqref="A2"/>
    </sheetView>
  </sheetViews>
  <sheetFormatPr defaultRowHeight="15" x14ac:dyDescent="0.25"/>
  <cols>
    <col min="1" max="1" width="52.5703125" customWidth="1"/>
    <col min="3" max="3" width="60" bestFit="1" customWidth="1"/>
    <col min="5" max="5" width="45.140625" customWidth="1"/>
  </cols>
  <sheetData>
    <row r="1" spans="1:5" x14ac:dyDescent="0.25">
      <c r="A1" s="188" t="s">
        <v>2063</v>
      </c>
      <c r="C1" s="188" t="s">
        <v>2064</v>
      </c>
      <c r="E1" s="188" t="s">
        <v>860</v>
      </c>
    </row>
    <row r="2" spans="1:5" x14ac:dyDescent="0.25">
      <c r="A2" s="236"/>
      <c r="C2" s="236"/>
      <c r="E2" s="236"/>
    </row>
    <row r="3" spans="1:5" x14ac:dyDescent="0.25">
      <c r="A3" s="237"/>
      <c r="C3" s="237"/>
      <c r="E3" s="237"/>
    </row>
    <row r="4" spans="1:5" x14ac:dyDescent="0.25">
      <c r="A4" s="237"/>
      <c r="C4" s="237"/>
      <c r="E4" s="237"/>
    </row>
    <row r="5" spans="1:5" x14ac:dyDescent="0.25">
      <c r="A5" s="237"/>
      <c r="C5" s="237"/>
      <c r="E5" s="237"/>
    </row>
    <row r="6" spans="1:5" x14ac:dyDescent="0.25">
      <c r="A6" s="237"/>
      <c r="C6" s="237"/>
      <c r="E6" s="237"/>
    </row>
    <row r="7" spans="1:5" x14ac:dyDescent="0.25">
      <c r="A7" s="237"/>
      <c r="C7" s="237"/>
      <c r="E7" s="238"/>
    </row>
    <row r="8" spans="1:5" x14ac:dyDescent="0.25">
      <c r="A8" s="237"/>
      <c r="C8" s="237"/>
      <c r="E8" s="33"/>
    </row>
    <row r="9" spans="1:5" x14ac:dyDescent="0.25">
      <c r="A9" s="237"/>
      <c r="C9" s="237"/>
      <c r="E9" s="33"/>
    </row>
    <row r="10" spans="1:5" x14ac:dyDescent="0.25">
      <c r="A10" s="237"/>
      <c r="C10" s="237"/>
      <c r="E10" s="33"/>
    </row>
    <row r="11" spans="1:5" x14ac:dyDescent="0.25">
      <c r="A11" s="237"/>
      <c r="C11" s="237"/>
      <c r="E11" s="33"/>
    </row>
    <row r="12" spans="1:5" x14ac:dyDescent="0.25">
      <c r="A12" s="237"/>
      <c r="C12" s="237"/>
      <c r="E12" s="33"/>
    </row>
    <row r="13" spans="1:5" x14ac:dyDescent="0.25">
      <c r="A13" s="237"/>
      <c r="C13" s="237"/>
      <c r="E13" s="33"/>
    </row>
    <row r="14" spans="1:5" x14ac:dyDescent="0.25">
      <c r="A14" s="237"/>
      <c r="C14" s="237"/>
      <c r="E14" s="33"/>
    </row>
    <row r="15" spans="1:5" x14ac:dyDescent="0.25">
      <c r="A15" s="237"/>
      <c r="C15" s="237"/>
      <c r="E15" s="33"/>
    </row>
    <row r="16" spans="1:5" x14ac:dyDescent="0.25">
      <c r="A16" s="237"/>
      <c r="C16" s="237"/>
      <c r="E16" s="33"/>
    </row>
    <row r="17" spans="1:5" x14ac:dyDescent="0.25">
      <c r="A17" s="237"/>
      <c r="C17" s="237"/>
      <c r="E17" s="33"/>
    </row>
    <row r="18" spans="1:5" x14ac:dyDescent="0.25">
      <c r="A18" s="237"/>
      <c r="C18" s="237"/>
      <c r="E18" s="33"/>
    </row>
    <row r="19" spans="1:5" x14ac:dyDescent="0.25">
      <c r="A19" s="237"/>
      <c r="C19" s="237"/>
      <c r="E19" s="33"/>
    </row>
    <row r="20" spans="1:5" x14ac:dyDescent="0.25">
      <c r="A20" s="237"/>
      <c r="C20" s="237"/>
      <c r="E20" s="33"/>
    </row>
    <row r="21" spans="1:5" x14ac:dyDescent="0.25">
      <c r="A21" s="237"/>
      <c r="C21" s="237"/>
      <c r="E21" s="33"/>
    </row>
    <row r="22" spans="1:5" x14ac:dyDescent="0.25">
      <c r="A22" s="238"/>
      <c r="C22" s="238"/>
      <c r="E22" s="33"/>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unka4"/>
  <dimension ref="A2:A3"/>
  <sheetViews>
    <sheetView workbookViewId="0"/>
  </sheetViews>
  <sheetFormatPr defaultRowHeight="15" x14ac:dyDescent="0.25"/>
  <cols>
    <col min="1" max="1" width="59.140625" customWidth="1"/>
  </cols>
  <sheetData>
    <row r="2" spans="1:1" x14ac:dyDescent="0.25">
      <c r="A2" t="s">
        <v>2072</v>
      </c>
    </row>
    <row r="3" spans="1:1" x14ac:dyDescent="0.25">
      <c r="A3" t="s">
        <v>2073</v>
      </c>
    </row>
  </sheetData>
  <phoneticPr fontId="6"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Munka1">
    <tabColor indexed="13"/>
  </sheetPr>
  <dimension ref="A1:AS396"/>
  <sheetViews>
    <sheetView zoomScale="80" zoomScaleNormal="80" workbookViewId="0">
      <selection activeCell="B1" sqref="B1"/>
    </sheetView>
  </sheetViews>
  <sheetFormatPr defaultRowHeight="15" x14ac:dyDescent="0.25"/>
  <cols>
    <col min="1" max="1" width="20.5703125" customWidth="1"/>
    <col min="2" max="2" width="16.42578125" customWidth="1"/>
    <col min="3" max="3" width="18.5703125" customWidth="1"/>
    <col min="4" max="4" width="19.85546875" bestFit="1" customWidth="1"/>
    <col min="6" max="6" width="20.85546875" customWidth="1"/>
    <col min="7" max="7" width="15.42578125" customWidth="1"/>
    <col min="8" max="8" width="19.85546875" customWidth="1"/>
    <col min="10" max="10" width="21.7109375" customWidth="1"/>
    <col min="11" max="11" width="31.85546875" customWidth="1"/>
    <col min="12" max="12" width="10.42578125" bestFit="1" customWidth="1"/>
    <col min="14" max="14" width="27.5703125" bestFit="1" customWidth="1"/>
    <col min="15" max="15" width="17" customWidth="1"/>
    <col min="16" max="16" width="12.28515625" bestFit="1" customWidth="1"/>
    <col min="17" max="17" width="10.28515625" bestFit="1" customWidth="1"/>
    <col min="18" max="19" width="12.85546875" bestFit="1" customWidth="1"/>
    <col min="23" max="23" width="9.140625" style="137" customWidth="1"/>
    <col min="24" max="26" width="10.42578125" customWidth="1"/>
    <col min="30" max="30" width="12" hidden="1" customWidth="1"/>
    <col min="31" max="31" width="10.7109375" hidden="1" customWidth="1"/>
    <col min="32" max="32" width="11.7109375" hidden="1" customWidth="1"/>
    <col min="33" max="33" width="12.140625" hidden="1" customWidth="1"/>
    <col min="34" max="34" width="19.28515625" hidden="1" customWidth="1"/>
    <col min="35" max="35" width="9.140625" hidden="1" customWidth="1"/>
    <col min="36" max="36" width="15" hidden="1" customWidth="1"/>
    <col min="37" max="37" width="9.140625" hidden="1" customWidth="1"/>
    <col min="39" max="39" width="25.42578125" customWidth="1"/>
    <col min="41" max="41" width="26.5703125" customWidth="1"/>
    <col min="43" max="43" width="27.28515625" customWidth="1"/>
    <col min="45" max="45" width="25.5703125" customWidth="1"/>
  </cols>
  <sheetData>
    <row r="1" spans="1:45" ht="15.75" thickBot="1" x14ac:dyDescent="0.3">
      <c r="A1" s="126" t="s">
        <v>1782</v>
      </c>
      <c r="B1" s="105"/>
      <c r="D1" s="143" t="s">
        <v>1153</v>
      </c>
      <c r="E1" s="91"/>
      <c r="F1" s="143" t="s">
        <v>1154</v>
      </c>
      <c r="G1" s="90"/>
      <c r="H1" s="90"/>
      <c r="I1" s="90"/>
      <c r="J1" s="145" t="s">
        <v>1944</v>
      </c>
      <c r="K1" s="145" t="s">
        <v>1949</v>
      </c>
      <c r="M1" s="134" t="s">
        <v>748</v>
      </c>
      <c r="N1" s="135" t="s">
        <v>803</v>
      </c>
      <c r="O1" s="165" t="s">
        <v>193</v>
      </c>
      <c r="P1" s="134" t="s">
        <v>1422</v>
      </c>
      <c r="Q1" s="134" t="s">
        <v>1423</v>
      </c>
      <c r="R1" s="134" t="s">
        <v>1424</v>
      </c>
      <c r="S1" s="134" t="s">
        <v>1424</v>
      </c>
      <c r="T1" s="134" t="s">
        <v>1532</v>
      </c>
      <c r="U1" s="134" t="s">
        <v>1532</v>
      </c>
      <c r="V1" s="134" t="s">
        <v>1425</v>
      </c>
      <c r="W1" s="165" t="s">
        <v>1528</v>
      </c>
      <c r="X1" s="134" t="s">
        <v>897</v>
      </c>
      <c r="Y1" s="134" t="s">
        <v>207</v>
      </c>
      <c r="Z1" s="134" t="s">
        <v>896</v>
      </c>
      <c r="AA1" s="134" t="s">
        <v>1426</v>
      </c>
      <c r="AD1" t="s">
        <v>1518</v>
      </c>
      <c r="AE1" s="53">
        <f t="shared" ref="AE1:AE7" si="0">IF(F$15&lt;&gt;"",F17,IF(D$15&lt;&gt;"",D17,B17))</f>
        <v>0</v>
      </c>
      <c r="AF1">
        <f>IF(AE1="","",VLOOKUP(AE1, Szarmaztatas!P$3:Q$23,2))</f>
        <v>-5</v>
      </c>
      <c r="AG1">
        <f>IF(ISERROR(VLOOKUP("Herkules",A27:B32,1,0)),IF(ISERROR(VLOOKUP("Herkules",F27:G32,1,0)),IF(ISERROR(VLOOKUP("Herkules",A36:B40,1,0)),0,1),1),1)</f>
        <v>0</v>
      </c>
      <c r="AH1" s="53"/>
      <c r="AI1" s="54"/>
      <c r="AJ1" s="54"/>
      <c r="AK1" s="53"/>
      <c r="AL1" s="53"/>
      <c r="AM1" s="53"/>
      <c r="AN1" s="53"/>
      <c r="AO1" s="53"/>
      <c r="AP1" s="53"/>
      <c r="AQ1" s="53"/>
      <c r="AR1" s="53"/>
      <c r="AS1" s="53"/>
    </row>
    <row r="2" spans="1:45" ht="15.75" thickBot="1" x14ac:dyDescent="0.3">
      <c r="A2" s="123" t="s">
        <v>1784</v>
      </c>
      <c r="B2" s="106"/>
      <c r="C2" s="83">
        <f>IF(B7="talan/sutta",6,0)</f>
        <v>0</v>
      </c>
      <c r="D2" s="123" t="s">
        <v>1529</v>
      </c>
      <c r="E2" s="23" t="str">
        <f>IF(ISERROR(VLOOKUP(IF(B4&lt;8,8,B4),Szarmaztatas!B31:N42,2+C2+C3+C4,1)),"",VLOOKUP(IF(B4&lt;8,8,B4),Szarmaztatas!B31:N42,2+C2+C3+C4,1))</f>
        <v/>
      </c>
      <c r="F2" s="123" t="s">
        <v>899</v>
      </c>
      <c r="G2" s="33">
        <f>3*AE1+AE6+5*AE9-5*AE10</f>
        <v>0</v>
      </c>
      <c r="H2" s="33"/>
      <c r="I2" s="33"/>
      <c r="J2" s="168"/>
      <c r="K2" s="168"/>
      <c r="L2" s="83" t="str">
        <f>IF(ISERROR(VLOOKUP(K2,Szarmaztatas!$Z$5:$AA$58,2,0)),"",VLOOKUP(K2,Szarmaztatas!$Z$5:$AA$58,2,0))</f>
        <v/>
      </c>
      <c r="M2" s="86"/>
      <c r="N2" s="80" t="s">
        <v>415</v>
      </c>
      <c r="O2" s="224"/>
      <c r="P2" t="s">
        <v>806</v>
      </c>
      <c r="Q2">
        <f>VLOOKUP(P2,$AG$35:$AH$44,2,0)-AH26</f>
        <v>1</v>
      </c>
      <c r="R2" t="s">
        <v>1518</v>
      </c>
      <c r="S2" t="s">
        <v>1519</v>
      </c>
      <c r="T2">
        <f t="shared" ref="T2:T5" si="1">VLOOKUP(R2, $AD$1:$AF$7,3,0)</f>
        <v>-5</v>
      </c>
      <c r="U2">
        <f t="shared" ref="U2:U5" si="2">VLOOKUP(S2, $AD$1:$AF$7,3,0)</f>
        <v>-5</v>
      </c>
      <c r="V2" s="78"/>
      <c r="W2" s="137">
        <f>V2+T2+U2+$AE$30</f>
        <v>-10</v>
      </c>
      <c r="X2">
        <f>VLOOKUP(R2,$AD$1:$AG$7,4,0)+VLOOKUP(S2,$AD$1:$AG$7,4,0)+VLOOKUP(P2,$AF$9:$AG$18,2,0)+IF(ISERROR(VLOOKUP(N2,$J$2:$J$13,1,0)),0,1)+IF($AG$21=1,IF(ISERROR(VLOOKUP(N2,Szarmaztatas!$H$5:$H$14,1,0)),0,1),0)</f>
        <v>0</v>
      </c>
      <c r="Y2" s="53" t="str">
        <f t="shared" ref="Y2:Y6" si="3">IF(ISERROR(VLOOKUP(N2,$K$2:$K$8,1,0)),"","jövő hiánya")</f>
        <v/>
      </c>
      <c r="Z2" s="227"/>
      <c r="AA2">
        <f>IF(V2=0,0,VLOOKUP(V2,Szarmaztatas!$B$4:$F$28,Q2+1,FALSE))</f>
        <v>0</v>
      </c>
      <c r="AD2" t="s">
        <v>1519</v>
      </c>
      <c r="AE2" s="53">
        <f t="shared" si="0"/>
        <v>0</v>
      </c>
      <c r="AF2">
        <f>IF(AE2="","",VLOOKUP(AE2, Szarmaztatas!P$3:Q$23,2))</f>
        <v>-5</v>
      </c>
      <c r="AG2">
        <f>IF(ISERROR(VLOOKUP("Macskaügyesség",A27:B32,1,0)),IF(ISERROR(VLOOKUP("Macskaügyesség",F27:G32,1,0)),IF(ISERROR(VLOOKUP("Macskaügyesség",A36:B40,1,0)),0,1),1),1)</f>
        <v>0</v>
      </c>
      <c r="AH2" s="55"/>
      <c r="AI2" s="55"/>
      <c r="AJ2" s="27" t="s">
        <v>1155</v>
      </c>
      <c r="AL2" s="55"/>
      <c r="AM2" s="55"/>
      <c r="AN2" s="56"/>
      <c r="AO2" s="56"/>
      <c r="AP2" s="56"/>
      <c r="AQ2" s="56"/>
      <c r="AR2" s="56"/>
      <c r="AS2" s="56"/>
    </row>
    <row r="3" spans="1:45" x14ac:dyDescent="0.25">
      <c r="A3" s="123" t="s">
        <v>1001</v>
      </c>
      <c r="B3" s="140">
        <f ca="1">TODAY()</f>
        <v>44773</v>
      </c>
      <c r="C3" s="83">
        <f>IF(ISERROR(VLOOKUP("Kiváló tulajdonságok",$A$27:$A$32,1,0)),0,3)</f>
        <v>0</v>
      </c>
      <c r="D3" s="138" t="s">
        <v>1525</v>
      </c>
      <c r="E3" s="23" t="str">
        <f>IF(E2="","",E2-B25-B34+D25+D34)</f>
        <v/>
      </c>
      <c r="F3" s="123" t="s">
        <v>1216</v>
      </c>
      <c r="G3" s="33">
        <f>3*AE1+5*AE15-5*AE16</f>
        <v>0</v>
      </c>
      <c r="H3" s="101">
        <v>0.75</v>
      </c>
      <c r="I3" s="101">
        <v>0.5</v>
      </c>
      <c r="J3" s="168"/>
      <c r="K3" s="168"/>
      <c r="L3" s="83" t="str">
        <f>IF(ISERROR(VLOOKUP(K3,Szarmaztatas!$Z$5:$AA$58,2,0)),"",VLOOKUP(K3,Szarmaztatas!$Z$5:$AA$58,2,0))</f>
        <v/>
      </c>
      <c r="M3" s="86"/>
      <c r="N3" s="80" t="s">
        <v>196</v>
      </c>
      <c r="O3" s="224"/>
      <c r="P3" t="s">
        <v>806</v>
      </c>
      <c r="Q3">
        <f>VLOOKUP(P3,$AG$35:$AH$44,2,0)</f>
        <v>1</v>
      </c>
      <c r="R3" t="s">
        <v>1521</v>
      </c>
      <c r="S3" t="s">
        <v>1521</v>
      </c>
      <c r="T3">
        <f t="shared" si="1"/>
        <v>-5</v>
      </c>
      <c r="U3">
        <f t="shared" si="2"/>
        <v>-5</v>
      </c>
      <c r="V3" s="78"/>
      <c r="W3" s="137">
        <f t="shared" ref="W3:W6" si="4">V3+T3+U3+$AE$30</f>
        <v>-10</v>
      </c>
      <c r="X3">
        <f>VLOOKUP(R3,$AD$1:$AG$7,4,0)+VLOOKUP(S3,$AD$1:$AG$7,4,0)+VLOOKUP(P3,$AF$9:$AG$18,2,0)+IF(ISERROR(VLOOKUP(N3,$J$2:$J$13,1,0)),0,1)+IF($AG$21=1,IF(ISERROR(VLOOKUP(N3,Szarmaztatas!$H$5:$H$14,1,0)),0,1),0)</f>
        <v>0</v>
      </c>
      <c r="Y3" s="53" t="str">
        <f t="shared" si="3"/>
        <v/>
      </c>
      <c r="Z3" s="227"/>
      <c r="AA3">
        <f>IF(V3=0,0,VLOOKUP(V3,Szarmaztatas!$B$4:$F$28,Q3+1,FALSE))</f>
        <v>0</v>
      </c>
      <c r="AD3" t="s">
        <v>1520</v>
      </c>
      <c r="AE3" s="53">
        <f t="shared" si="0"/>
        <v>0</v>
      </c>
      <c r="AF3">
        <f>IF(AE3="","",VLOOKUP(AE3, Szarmaztatas!P$3:Q$23,2))</f>
        <v>-5</v>
      </c>
      <c r="AG3">
        <f>IF(ISERROR(VLOOKUP("Éles érzékek",A27:B32,1,0)),IF(ISERROR(VLOOKUP("Éles érzékek",F27:G32,1,0)),IF(ISERROR(VLOOKUP("Éles érzékek",A36:B40,1,0)),0,1),1),1)</f>
        <v>0</v>
      </c>
      <c r="AH3" s="55"/>
      <c r="AI3" s="55"/>
      <c r="AL3" s="55"/>
      <c r="AM3" s="55"/>
      <c r="AN3" s="55"/>
      <c r="AO3" s="55"/>
      <c r="AP3" s="55"/>
      <c r="AQ3" s="55"/>
      <c r="AR3" s="55"/>
      <c r="AS3" s="55"/>
    </row>
    <row r="4" spans="1:45" x14ac:dyDescent="0.25">
      <c r="A4" s="123" t="s">
        <v>1783</v>
      </c>
      <c r="B4" s="23" t="str">
        <f>IF(B5&lt;&gt;"",B5,IF(B2="","",IF(B3="","",INT(C10))))</f>
        <v/>
      </c>
      <c r="C4" s="83">
        <f>IF(ISERROR(VLOOKUP("Koravén",$A$27:$A$32,1,0)),IF(ISERROR(VLOOKUP("Gyerekes",$C$27:$C$32,1,0)),0,2),1)</f>
        <v>0</v>
      </c>
      <c r="D4" s="139" t="s">
        <v>1527</v>
      </c>
      <c r="E4" s="94" t="str">
        <f>IF(B8&lt;&gt;"",IF(B8="Szerviens",E3+2,IF(B8="Likantróp",IF(AE19&lt;&gt;0,E3-G25+I25+5+AE23-AE24+AE19+AE20-AE31,E3-G25+I25+5), IF(B8="Vámpír",E3-G25+I25+7,E3-G25+I25)))+AE23-AE24+AE25,"")</f>
        <v/>
      </c>
      <c r="F4" s="131" t="s">
        <v>1217</v>
      </c>
      <c r="G4" s="71">
        <f>3*AE6+5*AE17-5*AE18</f>
        <v>0</v>
      </c>
      <c r="H4" s="102">
        <f>G4*(0.75+(5/100*AE26))</f>
        <v>0</v>
      </c>
      <c r="I4" s="102">
        <f>G4*(0.5+(5/100*AE26))</f>
        <v>0</v>
      </c>
      <c r="J4" s="168"/>
      <c r="K4" s="168"/>
      <c r="L4" s="83" t="str">
        <f>IF(ISERROR(VLOOKUP(K4,Szarmaztatas!$Z$5:$AA$58,2,0)),"",VLOOKUP(K4,Szarmaztatas!$Z$5:$AA$58,2,0))</f>
        <v/>
      </c>
      <c r="M4" s="86"/>
      <c r="N4" s="80" t="s">
        <v>196</v>
      </c>
      <c r="O4" s="224"/>
      <c r="P4" t="s">
        <v>806</v>
      </c>
      <c r="Q4">
        <f>VLOOKUP(P4,$AG$35:$AH$44,2,0)</f>
        <v>1</v>
      </c>
      <c r="R4" t="s">
        <v>1521</v>
      </c>
      <c r="S4" t="s">
        <v>1521</v>
      </c>
      <c r="T4">
        <f t="shared" si="1"/>
        <v>-5</v>
      </c>
      <c r="U4">
        <f t="shared" si="2"/>
        <v>-5</v>
      </c>
      <c r="V4" s="78"/>
      <c r="W4" s="137">
        <f t="shared" si="4"/>
        <v>-10</v>
      </c>
      <c r="X4">
        <f>VLOOKUP(R4,$AD$1:$AG$7,4,0)+VLOOKUP(S4,$AD$1:$AG$7,4,0)+VLOOKUP(P4,$AF$9:$AG$18,2,0)+IF(ISERROR(VLOOKUP(N4,$J$2:$J$13,1,0)),0,1)+IF($AG$21=1,IF(ISERROR(VLOOKUP(N4,Szarmaztatas!$H$5:$H$14,1,0)),0,1),0)</f>
        <v>0</v>
      </c>
      <c r="Y4" s="53" t="str">
        <f t="shared" si="3"/>
        <v/>
      </c>
      <c r="Z4" s="227"/>
      <c r="AA4">
        <f>IF(V4=0,0,VLOOKUP(V4,Szarmaztatas!$B$4:$F$28,Q4+1,FALSE))</f>
        <v>0</v>
      </c>
      <c r="AD4" t="s">
        <v>1522</v>
      </c>
      <c r="AE4" s="53">
        <f t="shared" si="0"/>
        <v>0</v>
      </c>
      <c r="AF4">
        <f>IF(AE4="","",VLOOKUP(AE4, Szarmaztatas!P$3:Q$23,2))</f>
        <v>-5</v>
      </c>
      <c r="AG4">
        <f>IF(ISERROR(VLOOKUP("Egy elbűvölő ember",A27:B32,1,0)),IF(ISERROR(VLOOKUP("Egy elbűvölő ember",F27:G32,1,0)),IF(ISERROR(VLOOKUP("Egy elbűvölő ember",A36:B40,1,0)),0,1),1),1)</f>
        <v>0</v>
      </c>
      <c r="AH4" s="55"/>
      <c r="AI4" s="55"/>
      <c r="AJ4" s="73" t="s">
        <v>415</v>
      </c>
      <c r="AK4">
        <f>VLOOKUP(AJ4,$N$2:$Q$72,4,0)</f>
        <v>1</v>
      </c>
      <c r="AL4" s="55"/>
      <c r="AM4" s="55"/>
      <c r="AN4" s="55"/>
      <c r="AO4" s="55"/>
      <c r="AP4" s="55"/>
      <c r="AQ4" s="55"/>
      <c r="AR4" s="55"/>
      <c r="AS4" s="55"/>
    </row>
    <row r="5" spans="1:45" x14ac:dyDescent="0.25">
      <c r="A5" s="123" t="s">
        <v>1421</v>
      </c>
      <c r="B5" s="107"/>
      <c r="J5" s="168"/>
      <c r="K5" s="168"/>
      <c r="L5" s="83" t="str">
        <f>IF(ISERROR(VLOOKUP(K5,Szarmaztatas!$Z$5:$AA$58,2,0)),"",VLOOKUP(K5,Szarmaztatas!$Z$5:$AA$58,2,0))</f>
        <v/>
      </c>
      <c r="M5" s="86"/>
      <c r="N5" s="80" t="s">
        <v>1225</v>
      </c>
      <c r="O5" s="224"/>
      <c r="P5" t="s">
        <v>806</v>
      </c>
      <c r="Q5">
        <f t="shared" ref="Q5:Q6" si="5">VLOOKUP(P5,$AG$35:$AH$44,2,0)</f>
        <v>1</v>
      </c>
      <c r="R5" t="s">
        <v>1521</v>
      </c>
      <c r="S5" t="s">
        <v>1519</v>
      </c>
      <c r="T5">
        <f t="shared" si="1"/>
        <v>-5</v>
      </c>
      <c r="U5">
        <f t="shared" si="2"/>
        <v>-5</v>
      </c>
      <c r="V5" s="78"/>
      <c r="W5" s="137">
        <f t="shared" si="4"/>
        <v>-10</v>
      </c>
      <c r="X5">
        <f>VLOOKUP(R5,$AD$1:$AG$7,4,0)+VLOOKUP(S5,$AD$1:$AG$7,4,0)+VLOOKUP(P5,$AF$9:$AG$18,2,0)+IF(ISERROR(VLOOKUP(N5,$J$2:$J$13,1,0)),0,1)+IF($AG$21=1,IF(ISERROR(VLOOKUP(N5,Szarmaztatas!$H$5:$H$14,1,0)),0,1),0)</f>
        <v>0</v>
      </c>
      <c r="Y5" s="53" t="str">
        <f t="shared" si="3"/>
        <v/>
      </c>
      <c r="Z5" s="227"/>
      <c r="AA5">
        <f>IF(V5=0,0,VLOOKUP(V5,Szarmaztatas!$B$4:$F$28,Q5+1,FALSE))</f>
        <v>0</v>
      </c>
      <c r="AD5" t="s">
        <v>1521</v>
      </c>
      <c r="AE5" s="53">
        <f t="shared" si="0"/>
        <v>0</v>
      </c>
      <c r="AF5">
        <f>IF(AE5="","",VLOOKUP(AE5, Szarmaztatas!P$3:Q$23,2))</f>
        <v>-5</v>
      </c>
      <c r="AG5">
        <f>IF(ISERROR(VLOOKUP("Logikus",A27:B32,1,0)),IF(ISERROR(VLOOKUP("Logikus",F27:G32,1,0)),IF(ISERROR(VLOOKUP("Logikus",A36:B40,1,0)),0,1),1),1)</f>
        <v>0</v>
      </c>
      <c r="AH5" s="55"/>
      <c r="AI5" s="55"/>
      <c r="AJ5" s="73" t="s">
        <v>196</v>
      </c>
      <c r="AK5">
        <f>VLOOKUP(AJ5,Karakterlap!$N$2:$Q$72,4,0)</f>
        <v>1</v>
      </c>
      <c r="AL5" s="55"/>
      <c r="AM5" s="55"/>
      <c r="AN5" s="55"/>
      <c r="AO5" s="55"/>
      <c r="AP5" s="55"/>
      <c r="AQ5" s="55"/>
      <c r="AR5" s="55"/>
      <c r="AS5" s="55"/>
    </row>
    <row r="6" spans="1:45" x14ac:dyDescent="0.25">
      <c r="A6" s="123" t="s">
        <v>1785</v>
      </c>
      <c r="B6" s="107"/>
      <c r="D6" s="126" t="s">
        <v>1530</v>
      </c>
      <c r="E6" s="103">
        <f>Karakterlap!B44*(1+(1/100*5*AE22))</f>
        <v>50</v>
      </c>
      <c r="F6" s="126" t="s">
        <v>1533</v>
      </c>
      <c r="G6" s="91" t="str">
        <f>IF(AE3&lt;&gt;0,AF3+2*AE11-2*AE12,"")</f>
        <v/>
      </c>
      <c r="J6" s="168"/>
      <c r="K6" s="168"/>
      <c r="L6" s="83" t="str">
        <f>IF(ISERROR(VLOOKUP(K6,Szarmaztatas!$Z$5:$AA$58,2,0)),"",VLOOKUP(K6,Szarmaztatas!$Z$5:$AA$58,2,0))</f>
        <v/>
      </c>
      <c r="M6" s="86"/>
      <c r="N6" s="80" t="s">
        <v>2037</v>
      </c>
      <c r="O6" s="224"/>
      <c r="P6" t="s">
        <v>806</v>
      </c>
      <c r="Q6">
        <f t="shared" si="5"/>
        <v>1</v>
      </c>
      <c r="R6" t="s">
        <v>1521</v>
      </c>
      <c r="S6" t="s">
        <v>1520</v>
      </c>
      <c r="T6">
        <f>VLOOKUP(R6, $AD$1:$AF$7,3,0)</f>
        <v>-5</v>
      </c>
      <c r="U6">
        <f>VLOOKUP(S6, $AD$1:$AF$7,3,0)</f>
        <v>-5</v>
      </c>
      <c r="V6" s="78"/>
      <c r="W6" s="137">
        <f t="shared" si="4"/>
        <v>-10</v>
      </c>
      <c r="X6">
        <f>VLOOKUP(R6,$AD$1:$AG$7,4,0)+VLOOKUP(S6,$AD$1:$AG$7,4,0)+VLOOKUP(P6,$AF$9:$AG$18,2,0)+IF(ISERROR(VLOOKUP(N6,$J$2:$J$13,1,0)),0,1)+IF($AG$21=1,IF(ISERROR(VLOOKUP(N6,Szarmaztatas!$H$5:$H$14,1,0)),0,1),0)</f>
        <v>0</v>
      </c>
      <c r="Y6" s="53" t="str">
        <f t="shared" si="3"/>
        <v/>
      </c>
      <c r="Z6" s="227"/>
      <c r="AA6">
        <f>IF(V6=0,0,VLOOKUP(V6,Szarmaztatas!$B$4:$F$28,Q6+1,FALSE))</f>
        <v>0</v>
      </c>
      <c r="AD6" t="s">
        <v>1523</v>
      </c>
      <c r="AE6" s="53">
        <f t="shared" si="0"/>
        <v>0</v>
      </c>
      <c r="AF6">
        <f>IF(AE6="","",VLOOKUP(AE6, Szarmaztatas!P$3:Q$23,2))</f>
        <v>-5</v>
      </c>
      <c r="AG6">
        <f>IF(ISERROR(VLOOKUP("Türelmes",A27:B32,1,0)),IF(ISERROR(VLOOKUP("Türelmes",F27:G32,1,0)),IF(ISERROR(VLOOKUP("Türelmes",A36:B40,1,0)),0,1),1),1)</f>
        <v>0</v>
      </c>
      <c r="AH6" s="55"/>
      <c r="AI6" s="55"/>
      <c r="AJ6" s="73" t="s">
        <v>1225</v>
      </c>
      <c r="AK6">
        <f>VLOOKUP(AJ6,Karakterlap!$N$2:$Q$72,4,0)</f>
        <v>1</v>
      </c>
      <c r="AL6" s="55"/>
      <c r="AM6" s="56"/>
      <c r="AN6" s="55"/>
      <c r="AO6" s="55"/>
      <c r="AP6" s="55"/>
      <c r="AQ6" s="55"/>
      <c r="AR6" s="55"/>
      <c r="AS6" s="55"/>
    </row>
    <row r="7" spans="1:45" x14ac:dyDescent="0.25">
      <c r="A7" s="129" t="s">
        <v>1786</v>
      </c>
      <c r="B7" s="108"/>
      <c r="D7" s="139" t="s">
        <v>1531</v>
      </c>
      <c r="E7" s="104">
        <f>E6-AA73</f>
        <v>50</v>
      </c>
      <c r="F7" s="123" t="s">
        <v>1534</v>
      </c>
      <c r="G7" s="23" t="str">
        <f>IF(AE2,AF2+AF3+2*AE13-2*AE14,"")</f>
        <v/>
      </c>
      <c r="J7" s="168"/>
      <c r="K7" s="168"/>
      <c r="L7" s="83" t="str">
        <f>IF(ISERROR(VLOOKUP(K7,Szarmaztatas!$Z$5:$AA$58,2,0)),"",VLOOKUP(K7,Szarmaztatas!$Z$5:$AA$58,2,0))</f>
        <v/>
      </c>
      <c r="M7" s="86"/>
      <c r="N7" s="80" t="s">
        <v>1227</v>
      </c>
      <c r="O7" s="224"/>
      <c r="P7" t="s">
        <v>806</v>
      </c>
      <c r="Q7">
        <f t="shared" ref="Q7" si="6">VLOOKUP(P7,$AG$35:$AH$44,2,0)</f>
        <v>1</v>
      </c>
      <c r="R7" t="s">
        <v>1521</v>
      </c>
      <c r="S7" t="s">
        <v>1519</v>
      </c>
      <c r="T7">
        <f t="shared" ref="T7" si="7">VLOOKUP(R7, $AD$1:$AF$7,3,0)</f>
        <v>-5</v>
      </c>
      <c r="U7">
        <f t="shared" ref="U7" si="8">VLOOKUP(S7, $AD$1:$AF$7,3,0)</f>
        <v>-5</v>
      </c>
      <c r="V7" s="78"/>
      <c r="W7" s="137">
        <f t="shared" ref="W7" si="9">V7+T7+U7+$AE$30</f>
        <v>-10</v>
      </c>
      <c r="X7">
        <f>VLOOKUP(R7,$AD$1:$AG$7,4,0)+VLOOKUP(S7,$AD$1:$AG$7,4,0)+VLOOKUP(P7,$AF$9:$AG$18,2,0)+IF(ISERROR(VLOOKUP(N7,$J$2:$J$13,1,0)),0,1)+IF($AG$21=1,IF(ISERROR(VLOOKUP(N7,Szarmaztatas!$H$5:$H$14,1,0)),0,1),0)</f>
        <v>0</v>
      </c>
      <c r="Y7" s="53" t="str">
        <f t="shared" ref="Y7" si="10">IF(ISERROR(VLOOKUP(N7,$K$2:$K$8,1,0)),"","jövő hiánya")</f>
        <v/>
      </c>
      <c r="Z7" s="227"/>
      <c r="AA7">
        <f>IF(V7=0,0,VLOOKUP(V7,Szarmaztatas!$B$4:$F$28,Q7+1,FALSE))</f>
        <v>0</v>
      </c>
      <c r="AD7" t="s">
        <v>1524</v>
      </c>
      <c r="AE7" s="53">
        <f t="shared" si="0"/>
        <v>0</v>
      </c>
      <c r="AF7">
        <f>IF(AE7="","",VLOOKUP(AE7, Szarmaztatas!P$3:Q$23,2))</f>
        <v>-5</v>
      </c>
      <c r="AH7" s="55"/>
      <c r="AI7" s="55"/>
      <c r="AJ7" s="73" t="s">
        <v>1227</v>
      </c>
      <c r="AK7">
        <f>VLOOKUP(AJ7,Karakterlap!$N$2:$Q$72,4,0)</f>
        <v>1</v>
      </c>
      <c r="AL7" s="55"/>
      <c r="AM7" s="56"/>
      <c r="AN7" s="55"/>
      <c r="AO7" s="56"/>
      <c r="AP7" s="55"/>
      <c r="AQ7" s="56"/>
      <c r="AR7" s="55"/>
      <c r="AS7" s="55"/>
    </row>
    <row r="8" spans="1:45" x14ac:dyDescent="0.25">
      <c r="A8" s="131" t="s">
        <v>966</v>
      </c>
      <c r="B8" s="132"/>
      <c r="F8" s="123" t="s">
        <v>1535</v>
      </c>
      <c r="G8" s="23" t="str">
        <f>IF(AE1,IF(OR(AE27=-1,AE29=-1),-50,AF1),"")</f>
        <v/>
      </c>
      <c r="J8" s="168"/>
      <c r="K8" s="168"/>
      <c r="L8" s="83" t="str">
        <f>IF(ISERROR(VLOOKUP(K8,Szarmaztatas!$Z$5:$AA$58,2,0)),"",VLOOKUP(K8,Szarmaztatas!$Z$5:$AA$58,2,0))</f>
        <v/>
      </c>
      <c r="M8" s="86"/>
      <c r="N8" s="80" t="s">
        <v>1259</v>
      </c>
      <c r="O8" s="224"/>
      <c r="P8" t="s">
        <v>806</v>
      </c>
      <c r="Q8">
        <f t="shared" ref="Q8:Q13" si="11">VLOOKUP(P8,$AG$35:$AH$44,2,0)</f>
        <v>1</v>
      </c>
      <c r="R8" t="s">
        <v>1521</v>
      </c>
      <c r="S8" t="s">
        <v>1519</v>
      </c>
      <c r="T8">
        <f t="shared" ref="T8:T13" si="12">VLOOKUP(R8, $AD$1:$AF$7,3,0)</f>
        <v>-5</v>
      </c>
      <c r="U8">
        <f t="shared" ref="U8:U13" si="13">VLOOKUP(S8, $AD$1:$AF$7,3,0)</f>
        <v>-5</v>
      </c>
      <c r="V8" s="78"/>
      <c r="W8" s="137">
        <f t="shared" ref="W8:W13" si="14">V8+T8+U8+$AE$30</f>
        <v>-10</v>
      </c>
      <c r="X8">
        <f>VLOOKUP(R8,$AD$1:$AG$7,4,0)+VLOOKUP(S8,$AD$1:$AG$7,4,0)+VLOOKUP(P8,$AF$9:$AG$18,2,0)+IF(ISERROR(VLOOKUP(N8,$J$2:$J$13,1,0)),0,1)+IF($AG$21=1,IF(ISERROR(VLOOKUP(N8,Szarmaztatas!$H$5:$H$14,1,0)),0,1),0)</f>
        <v>0</v>
      </c>
      <c r="Y8" s="53" t="str">
        <f t="shared" ref="Y8:Y13" si="15">IF(ISERROR(VLOOKUP(N8,$K$2:$K$8,1,0)),"","jövő hiánya")</f>
        <v/>
      </c>
      <c r="Z8" s="227"/>
      <c r="AA8">
        <f>IF(V8=0,0,VLOOKUP(V8,Szarmaztatas!$B$4:$F$28,Q8+1,FALSE))</f>
        <v>0</v>
      </c>
      <c r="AE8" s="55"/>
      <c r="AF8" s="55"/>
      <c r="AG8" s="55" t="s">
        <v>420</v>
      </c>
      <c r="AH8" s="55" t="s">
        <v>1423</v>
      </c>
      <c r="AI8" s="55"/>
      <c r="AJ8" s="73" t="s">
        <v>1259</v>
      </c>
      <c r="AK8">
        <f>VLOOKUP(AJ8,Karakterlap!$N$2:$Q$72,4,0)</f>
        <v>1</v>
      </c>
      <c r="AL8" s="55"/>
      <c r="AM8" s="56"/>
      <c r="AN8" s="55"/>
      <c r="AO8" s="56"/>
      <c r="AP8" s="55"/>
      <c r="AQ8" s="56"/>
      <c r="AR8" s="55"/>
      <c r="AS8" s="55"/>
    </row>
    <row r="9" spans="1:45" x14ac:dyDescent="0.25">
      <c r="A9" s="33"/>
      <c r="B9" s="33"/>
      <c r="D9" s="143" t="s">
        <v>1215</v>
      </c>
      <c r="E9" s="105"/>
      <c r="F9" s="131" t="s">
        <v>1536</v>
      </c>
      <c r="G9" s="94" t="str">
        <f>IF(AE7,IF(OR(AE28=-1,AE29=-1),-50,AF7),"")</f>
        <v/>
      </c>
      <c r="J9" s="168"/>
      <c r="K9" s="170" t="str">
        <f>IF(L9&gt;=AH22*3,"jó","nem jó")</f>
        <v>jó</v>
      </c>
      <c r="L9" s="171">
        <f>SUM(L2:L8)</f>
        <v>0</v>
      </c>
      <c r="M9" s="86"/>
      <c r="N9" s="80" t="s">
        <v>1260</v>
      </c>
      <c r="O9" s="224"/>
      <c r="P9" t="s">
        <v>806</v>
      </c>
      <c r="Q9">
        <f t="shared" si="11"/>
        <v>1</v>
      </c>
      <c r="R9" t="s">
        <v>1521</v>
      </c>
      <c r="S9" t="s">
        <v>1519</v>
      </c>
      <c r="T9">
        <f t="shared" si="12"/>
        <v>-5</v>
      </c>
      <c r="U9">
        <f t="shared" si="13"/>
        <v>-5</v>
      </c>
      <c r="V9" s="78"/>
      <c r="W9" s="137">
        <f t="shared" si="14"/>
        <v>-10</v>
      </c>
      <c r="X9">
        <f>VLOOKUP(R9,$AD$1:$AG$7,4,0)+VLOOKUP(S9,$AD$1:$AG$7,4,0)+VLOOKUP(P9,$AF$9:$AG$18,2,0)+IF(ISERROR(VLOOKUP(N9,$J$2:$J$13,1,0)),0,1)+IF($AG$21=1,IF(ISERROR(VLOOKUP(N9,Szarmaztatas!$H$5:$H$14,1,0)),0,1),0)</f>
        <v>0</v>
      </c>
      <c r="Y9" s="53" t="str">
        <f t="shared" si="15"/>
        <v/>
      </c>
      <c r="Z9" s="227"/>
      <c r="AA9">
        <f>IF(V9=0,0,VLOOKUP(V9,Szarmaztatas!$B$4:$F$28,Q9+1,FALSE))</f>
        <v>0</v>
      </c>
      <c r="AD9" s="55" t="s">
        <v>613</v>
      </c>
      <c r="AE9">
        <f>IF(ISERROR(VLOOKUP("Vitalitás*",A27:B32,1,0)),IF(ISERROR(VLOOKUP("Vitalitás*",F27:G32,1,0)),IF(ISERROR(VLOOKUP("Vitalitás*",A36:B40,1,0)),0,VLOOKUP("Vitalitás*",A36:B40,2,0)),VLOOKUP("Vitalitás*",F27:G32,2,0)),VLOOKUP("Vitalitás*",A27:B32,2,0))</f>
        <v>0</v>
      </c>
      <c r="AF9" s="55" t="s">
        <v>806</v>
      </c>
      <c r="AG9" s="55">
        <f>IF(ISERROR(VLOOKUP("Élelmes",A27:B32,1,0)),IF(ISERROR(VLOOKUP("Élelmes",F27:G32,1,0)),IF(ISERROR(VLOOKUP("Élelmes",A36:B40,1,0)),0,1),1),1)</f>
        <v>0</v>
      </c>
      <c r="AH9" s="55"/>
      <c r="AI9" s="55"/>
      <c r="AJ9" s="73" t="s">
        <v>1260</v>
      </c>
      <c r="AK9">
        <f>VLOOKUP(AJ9,Karakterlap!$N$2:$Q$72,4,0)</f>
        <v>1</v>
      </c>
      <c r="AL9" s="55"/>
      <c r="AM9" s="56"/>
      <c r="AN9" s="55"/>
      <c r="AO9" s="56"/>
      <c r="AP9" s="55"/>
      <c r="AQ9" s="56"/>
      <c r="AR9" s="55"/>
      <c r="AS9" s="55"/>
    </row>
    <row r="10" spans="1:45" x14ac:dyDescent="0.25">
      <c r="A10" s="126" t="s">
        <v>1788</v>
      </c>
      <c r="B10" s="105"/>
      <c r="C10" s="122">
        <f ca="1">INT((B3)-(B2))/365</f>
        <v>122.66575342465754</v>
      </c>
      <c r="D10" s="81"/>
      <c r="E10" s="94"/>
      <c r="J10" s="168"/>
      <c r="K10" s="145" t="s">
        <v>883</v>
      </c>
      <c r="M10" s="86"/>
      <c r="N10" s="80" t="s">
        <v>1230</v>
      </c>
      <c r="O10" s="224"/>
      <c r="P10" t="s">
        <v>806</v>
      </c>
      <c r="Q10">
        <f t="shared" si="11"/>
        <v>1</v>
      </c>
      <c r="R10" t="s">
        <v>1521</v>
      </c>
      <c r="S10" t="s">
        <v>1523</v>
      </c>
      <c r="T10">
        <f t="shared" si="12"/>
        <v>-5</v>
      </c>
      <c r="U10">
        <f t="shared" si="13"/>
        <v>-5</v>
      </c>
      <c r="V10" s="78"/>
      <c r="W10" s="137">
        <f t="shared" si="14"/>
        <v>-10</v>
      </c>
      <c r="X10">
        <f>VLOOKUP(R10,$AD$1:$AG$7,4,0)+VLOOKUP(S10,$AD$1:$AG$7,4,0)+VLOOKUP(P10,$AF$9:$AG$18,2,0)+IF(ISERROR(VLOOKUP(N10,$J$2:$J$13,1,0)),0,1)+IF($AG$21=1,IF(ISERROR(VLOOKUP(N10,Szarmaztatas!$H$5:$H$14,1,0)),0,1),0)</f>
        <v>0</v>
      </c>
      <c r="Y10" s="53" t="str">
        <f t="shared" si="15"/>
        <v/>
      </c>
      <c r="Z10" s="227"/>
      <c r="AA10">
        <f>IF(V10=0,0,VLOOKUP(V10,Szarmaztatas!$B$4:$F$28,Q10+1,FALSE))</f>
        <v>0</v>
      </c>
      <c r="AD10" s="55" t="s">
        <v>612</v>
      </c>
      <c r="AE10">
        <f>IF(ISERROR(VLOOKUP("Hendikep*",C27:D32,1,0)),IF(ISERROR(VLOOKUP("Hendikep*",H27:I32,1,0)),IF(ISERROR(VLOOKUP("Hendikep*",C36:D40,1,0)),0,VLOOKUP("Hendikep*",C36:D40,2,0)),VLOOKUP("Hendikep*",H27:I32,2,0)),VLOOKUP("Hendikep*",C27:D32,2,0))</f>
        <v>0</v>
      </c>
      <c r="AF10" t="s">
        <v>1085</v>
      </c>
      <c r="AG10" s="55">
        <f>IF(AG12=1,1,0)</f>
        <v>0</v>
      </c>
      <c r="AH10" s="55">
        <f>IF(ISERROR(VLOOKUP("Művésztehetség K*",A27:B32,1,0)),0,1)</f>
        <v>0</v>
      </c>
      <c r="AI10" s="55"/>
      <c r="AJ10" s="73" t="s">
        <v>1230</v>
      </c>
      <c r="AK10">
        <f>VLOOKUP(AJ10,Karakterlap!$N$2:$Q$72,4,0)</f>
        <v>1</v>
      </c>
      <c r="AL10" s="55"/>
      <c r="AM10" s="56"/>
      <c r="AN10" s="55"/>
      <c r="AO10" s="56"/>
      <c r="AP10" s="55"/>
      <c r="AQ10" s="56"/>
      <c r="AR10" s="55"/>
      <c r="AS10" s="55"/>
    </row>
    <row r="11" spans="1:45" x14ac:dyDescent="0.25">
      <c r="A11" s="81"/>
      <c r="B11" s="94"/>
      <c r="F11" s="143" t="s">
        <v>1347</v>
      </c>
      <c r="G11" s="91"/>
      <c r="H11" s="33"/>
      <c r="J11" s="168"/>
      <c r="K11" s="168"/>
      <c r="M11" s="86"/>
      <c r="N11" s="80" t="s">
        <v>1007</v>
      </c>
      <c r="O11" s="224"/>
      <c r="P11" t="s">
        <v>806</v>
      </c>
      <c r="Q11">
        <f t="shared" si="11"/>
        <v>1</v>
      </c>
      <c r="R11" t="s">
        <v>1521</v>
      </c>
      <c r="S11" t="s">
        <v>1520</v>
      </c>
      <c r="T11">
        <f t="shared" si="12"/>
        <v>-5</v>
      </c>
      <c r="U11">
        <f t="shared" si="13"/>
        <v>-5</v>
      </c>
      <c r="V11" s="78"/>
      <c r="W11" s="137">
        <f t="shared" si="14"/>
        <v>-10</v>
      </c>
      <c r="X11">
        <f>VLOOKUP(R11,$AD$1:$AG$7,4,0)+VLOOKUP(S11,$AD$1:$AG$7,4,0)+VLOOKUP(P11,$AF$9:$AG$18,2,0)+IF(ISERROR(VLOOKUP(N11,$J$2:$J$13,1,0)),0,1)+IF($AG$21=1,IF(ISERROR(VLOOKUP(N11,Szarmaztatas!$H$5:$H$14,1,0)),0,1),0)</f>
        <v>0</v>
      </c>
      <c r="Y11" s="53" t="str">
        <f t="shared" si="15"/>
        <v/>
      </c>
      <c r="Z11" s="227"/>
      <c r="AA11">
        <f>IF(V11=0,0,VLOOKUP(V11,Szarmaztatas!$B$4:$F$28,Q11+1,FALSE))</f>
        <v>0</v>
      </c>
      <c r="AD11" s="55" t="s">
        <v>1611</v>
      </c>
      <c r="AE11" s="55">
        <f>IF(ISERROR(VLOOKUP("Bátor*",A27:B32,1,0)),IF(ISERROR(VLOOKUP("Bátor*",F27:G32,1,0)),IF(ISERROR(VLOOKUP("Bátor*",A36:B40,1,0)),0,VLOOKUP("Bátor*",A36:B40,2,0)),VLOOKUP("Bátor*",F27:G32,2,0)),VLOOKUP("Bátor*",A27:B32,2,0))</f>
        <v>0</v>
      </c>
      <c r="AF11" t="s">
        <v>808</v>
      </c>
      <c r="AG11" s="55">
        <f>IF(AG12=1,1,0)</f>
        <v>0</v>
      </c>
      <c r="AH11" s="55">
        <f>IF(ISERROR(VLOOKUP("Művésztehetség E*",A27:B32,1,0)),0,1)</f>
        <v>0</v>
      </c>
      <c r="AI11" s="55"/>
      <c r="AJ11" s="73" t="s">
        <v>1007</v>
      </c>
      <c r="AK11">
        <f>VLOOKUP(AJ11,Karakterlap!$N$2:$Q$72,4,0)</f>
        <v>1</v>
      </c>
      <c r="AL11" s="55"/>
      <c r="AM11" s="56"/>
      <c r="AN11" s="55"/>
      <c r="AO11" s="56"/>
      <c r="AP11" s="55"/>
      <c r="AQ11" s="56"/>
      <c r="AR11" s="55"/>
      <c r="AS11" s="56"/>
    </row>
    <row r="12" spans="1:45" x14ac:dyDescent="0.25">
      <c r="A12" s="123" t="s">
        <v>1787</v>
      </c>
      <c r="B12" s="33"/>
      <c r="C12" s="127" t="s">
        <v>1784</v>
      </c>
      <c r="D12" s="91"/>
      <c r="F12" s="123" t="s">
        <v>1346</v>
      </c>
      <c r="G12" s="23"/>
      <c r="H12" s="33"/>
      <c r="J12" s="168"/>
      <c r="K12" s="168"/>
      <c r="M12" s="86"/>
      <c r="N12" s="80" t="s">
        <v>1232</v>
      </c>
      <c r="O12" s="224"/>
      <c r="P12" t="s">
        <v>806</v>
      </c>
      <c r="Q12">
        <f t="shared" si="11"/>
        <v>1</v>
      </c>
      <c r="R12" t="s">
        <v>1521</v>
      </c>
      <c r="S12" t="s">
        <v>1519</v>
      </c>
      <c r="T12">
        <f t="shared" si="12"/>
        <v>-5</v>
      </c>
      <c r="U12">
        <f t="shared" si="13"/>
        <v>-5</v>
      </c>
      <c r="V12" s="78"/>
      <c r="W12" s="137">
        <f t="shared" si="14"/>
        <v>-10</v>
      </c>
      <c r="X12">
        <f>VLOOKUP(R12,$AD$1:$AG$7,4,0)+VLOOKUP(S12,$AD$1:$AG$7,4,0)+VLOOKUP(P12,$AF$9:$AG$18,2,0)+IF(ISERROR(VLOOKUP(N12,$J$2:$J$13,1,0)),0,1)+IF($AG$21=1,IF(ISERROR(VLOOKUP(N12,Szarmaztatas!$H$5:$H$14,1,0)),0,1),0)</f>
        <v>0</v>
      </c>
      <c r="Y12" s="53" t="str">
        <f t="shared" si="15"/>
        <v/>
      </c>
      <c r="Z12" s="227"/>
      <c r="AA12">
        <f>IF(V12=0,0,VLOOKUP(V12,Szarmaztatas!$B$4:$F$28,Q12+1,FALSE))</f>
        <v>0</v>
      </c>
      <c r="AD12" s="55" t="s">
        <v>654</v>
      </c>
      <c r="AE12" s="55">
        <f>IF(ISERROR(VLOOKUP("Gyáva*",C27:D32,1,0)),IF(ISERROR(VLOOKUP("Gyáva*",H27:I32,1,0)),IF(ISERROR(VLOOKUP("Gyáva*",C36:D40,1,0)),0,VLOOKUP("Gyáva*",C36:D40,2,0)),VLOOKUP("Gyáva*",H27:I32,2,0)),VLOOKUP("Gyáva*",C27:D32,2,0))</f>
        <v>0</v>
      </c>
      <c r="AF12" t="s">
        <v>419</v>
      </c>
      <c r="AG12" s="55">
        <f>IF(ISERROR(VLOOKUP("Művész",A27:B32,1,0)),IF(ISERROR(VLOOKUP("Művész",F27:G32,1,0)),IF(ISERROR(VLOOKUP("Művész",A36:B40,1,0)),0,1),1),1)</f>
        <v>0</v>
      </c>
      <c r="AH12" s="55">
        <f>IF(ISERROR(VLOOKUP("Művésztehetség - 2",A27:B32,1,0)),IF(ISERROR(VLOOKUP("Fantáziátlan",C27:C32,1,0)),0,-1),1)</f>
        <v>0</v>
      </c>
      <c r="AI12" s="55"/>
      <c r="AJ12" s="73" t="s">
        <v>1232</v>
      </c>
      <c r="AK12">
        <f>VLOOKUP(AJ12,Karakterlap!$N$2:$Q$72,4,0)</f>
        <v>1</v>
      </c>
      <c r="AL12" s="55"/>
      <c r="AM12" s="56"/>
      <c r="AN12" s="55"/>
      <c r="AO12" s="56"/>
      <c r="AP12" s="55"/>
      <c r="AQ12" s="56"/>
      <c r="AR12" s="55"/>
      <c r="AS12" s="56"/>
    </row>
    <row r="13" spans="1:45" x14ac:dyDescent="0.25">
      <c r="A13" s="80"/>
      <c r="B13" s="33"/>
      <c r="C13" s="33"/>
      <c r="D13" s="23"/>
      <c r="F13" s="131" t="s">
        <v>810</v>
      </c>
      <c r="G13" s="94"/>
      <c r="H13" s="33"/>
      <c r="J13" s="169"/>
      <c r="K13" s="168"/>
      <c r="M13" s="86"/>
      <c r="N13" s="80" t="s">
        <v>1261</v>
      </c>
      <c r="O13" s="224"/>
      <c r="P13" t="s">
        <v>806</v>
      </c>
      <c r="Q13">
        <f t="shared" si="11"/>
        <v>1</v>
      </c>
      <c r="R13" t="s">
        <v>1518</v>
      </c>
      <c r="S13" t="s">
        <v>1519</v>
      </c>
      <c r="T13">
        <f t="shared" si="12"/>
        <v>-5</v>
      </c>
      <c r="U13">
        <f t="shared" si="13"/>
        <v>-5</v>
      </c>
      <c r="V13" s="78"/>
      <c r="W13" s="137">
        <f t="shared" si="14"/>
        <v>-10</v>
      </c>
      <c r="X13">
        <f>VLOOKUP(R13,$AD$1:$AG$7,4,0)+VLOOKUP(S13,$AD$1:$AG$7,4,0)+VLOOKUP(P13,$AF$9:$AG$18,2,0)+IF(ISERROR(VLOOKUP(N13,$J$2:$J$13,1,0)),0,1)+IF($AG$21=1,IF(ISERROR(VLOOKUP(N13,Szarmaztatas!$H$5:$H$14,1,0)),0,1),0)</f>
        <v>0</v>
      </c>
      <c r="Y13" s="53" t="str">
        <f t="shared" si="15"/>
        <v/>
      </c>
      <c r="Z13" s="227"/>
      <c r="AA13">
        <f>IF(V13=0,0,VLOOKUP(V13,Szarmaztatas!$B$4:$F$28,Q13+1,FALSE))</f>
        <v>0</v>
      </c>
      <c r="AD13" s="55" t="s">
        <v>417</v>
      </c>
      <c r="AE13" s="55">
        <f>IF(ISERROR(VLOOKUP("Gyors reflex*",A27:B32,1,0)),IF(ISERROR(VLOOKUP("Gyors reflex*",F27:G32,1,0)),IF(ISERROR(VLOOKUP("Gyors reflex*",A36:B40,1,0)),0,VLOOKUP("Gyors reflex*",A36:B40,2,0)),VLOOKUP("Gyors reflex*",F27:G32,2,0)),VLOOKUP("Gyors reflex*",A27:B32,2,0))</f>
        <v>0</v>
      </c>
      <c r="AF13" t="s">
        <v>1087</v>
      </c>
      <c r="AG13" s="55">
        <f>IF(ISERROR(VLOOKUP("Harcos",A27:B32,1,0)),IF(ISERROR(VLOOKUP("Harcos",F27:G32,1,0)),IF(ISERROR(VLOOKUP("Harcos",A36:B40,1,0)),0,1),1),1)</f>
        <v>0</v>
      </c>
      <c r="AH13" s="55">
        <f>IF(ISERROR(VLOOKUP("Harcias",A27:B32,1,0)),IF(ISERROR(VLOOKUP("Békés",C27:C32,1,0)),0,-1),1)</f>
        <v>0</v>
      </c>
      <c r="AI13" s="55"/>
      <c r="AJ13" s="73" t="s">
        <v>1261</v>
      </c>
      <c r="AK13">
        <f>VLOOKUP(AJ13,Karakterlap!$N$2:$Q$72,4,0)</f>
        <v>1</v>
      </c>
      <c r="AL13" s="55"/>
      <c r="AM13" s="56"/>
      <c r="AN13" s="55"/>
      <c r="AO13" s="56"/>
      <c r="AP13" s="55"/>
      <c r="AQ13" s="56"/>
      <c r="AR13" s="55"/>
      <c r="AS13" s="56"/>
    </row>
    <row r="14" spans="1:45" x14ac:dyDescent="0.25">
      <c r="A14" s="81"/>
      <c r="B14" s="71"/>
      <c r="C14" s="71"/>
      <c r="D14" s="94"/>
      <c r="J14" s="145" t="s">
        <v>1945</v>
      </c>
      <c r="K14" s="169"/>
      <c r="M14" s="86"/>
      <c r="N14" s="80" t="s">
        <v>1237</v>
      </c>
      <c r="O14" s="224"/>
      <c r="P14" t="s">
        <v>806</v>
      </c>
      <c r="Q14">
        <f t="shared" ref="Q14:Q15" si="16">VLOOKUP(P14,$AG$35:$AH$44,2,0)</f>
        <v>1</v>
      </c>
      <c r="R14" t="s">
        <v>1521</v>
      </c>
      <c r="S14" t="s">
        <v>1519</v>
      </c>
      <c r="T14">
        <f t="shared" ref="T14:T76" si="17">VLOOKUP(R14, $AD$1:$AF$7,3,0)</f>
        <v>-5</v>
      </c>
      <c r="U14">
        <f t="shared" ref="U14:U76" si="18">VLOOKUP(S14, $AD$1:$AF$7,3,0)</f>
        <v>-5</v>
      </c>
      <c r="V14" s="78"/>
      <c r="W14" s="137">
        <f t="shared" ref="W14:W76" si="19">V14+T14+U14+$AE$30</f>
        <v>-10</v>
      </c>
      <c r="X14">
        <f>VLOOKUP(R14,$AD$1:$AG$7,4,0)+VLOOKUP(S14,$AD$1:$AG$7,4,0)+VLOOKUP(P14,$AF$9:$AG$18,2,0)+IF(ISERROR(VLOOKUP(N14,$J$2:$J$13,1,0)),0,1)+IF($AG$21=1,IF(ISERROR(VLOOKUP(N14,Szarmaztatas!$H$5:$H$14,1,0)),0,1),0)</f>
        <v>0</v>
      </c>
      <c r="Y14" s="53" t="str">
        <f t="shared" ref="Y14:Y62" si="20">IF(ISERROR(VLOOKUP(N14,$K$2:$K$8,1,0)),"","jövő hiánya")</f>
        <v/>
      </c>
      <c r="Z14" s="227"/>
      <c r="AA14">
        <f>IF(V14=0,0,VLOOKUP(V14,Szarmaztatas!$B$4:$F$28,Q14+1,FALSE))</f>
        <v>0</v>
      </c>
      <c r="AD14" s="55" t="s">
        <v>418</v>
      </c>
      <c r="AE14" s="55">
        <f>IF(ISERROR(VLOOKUP("Lassú reflex*",C27:D32,1,0)),IF(ISERROR(VLOOKUP("Lassú reflex*",H27:I32,1,0)),IF(ISERROR(VLOOKUP("Lassú reflex*",C36:D40,1,0)),0,VLOOKUP("Lassú reflex*",C36:D40,2,0)),VLOOKUP("Lassú reflex*",H27:I32,2,0)),VLOOKUP("Lassú reflex*",C27:D32,2,0))</f>
        <v>0</v>
      </c>
      <c r="AF14" t="s">
        <v>1090</v>
      </c>
      <c r="AG14" s="55">
        <f>IF(ISERROR(VLOOKUP("Praktikus",A27:B32,1,0)),IF(ISERROR(VLOOKUP("Praktikus",F27:G32,1,0)),IF(ISERROR(VLOOKUP("Praktikus",A36:B40,1,0)),0,1),1),1)</f>
        <v>0</v>
      </c>
      <c r="AH14" s="55">
        <f>IF(ISERROR(VLOOKUP("Gyakorlatias",A27:B32,1,0)),IF(ISERROR(VLOOKUP("Körülményes",C27:C32,1,0)),0,-1),1)</f>
        <v>0</v>
      </c>
      <c r="AI14" s="55"/>
      <c r="AJ14" s="73" t="s">
        <v>1237</v>
      </c>
      <c r="AK14">
        <f>VLOOKUP(AJ14,Karakterlap!$N$2:$Q$72,4,0)</f>
        <v>1</v>
      </c>
      <c r="AL14" s="55"/>
      <c r="AM14" s="56"/>
      <c r="AN14" s="55"/>
      <c r="AO14" s="56"/>
      <c r="AP14" s="55"/>
      <c r="AQ14" s="56"/>
      <c r="AR14" s="55"/>
      <c r="AS14" s="56"/>
    </row>
    <row r="15" spans="1:45" x14ac:dyDescent="0.25">
      <c r="A15" s="89" t="s">
        <v>898</v>
      </c>
      <c r="B15" s="90" t="s">
        <v>874</v>
      </c>
      <c r="C15" s="90"/>
      <c r="D15" s="90" t="str">
        <f>IF(B8&lt;&gt;"","x","")</f>
        <v/>
      </c>
      <c r="E15" s="90"/>
      <c r="F15" s="97"/>
      <c r="G15" s="91"/>
      <c r="J15" s="168"/>
      <c r="K15" s="145" t="s">
        <v>1613</v>
      </c>
      <c r="M15" s="87"/>
      <c r="N15" s="81" t="s">
        <v>1240</v>
      </c>
      <c r="O15" s="225"/>
      <c r="P15" s="209" t="s">
        <v>806</v>
      </c>
      <c r="Q15" s="209">
        <f t="shared" si="16"/>
        <v>1</v>
      </c>
      <c r="R15" s="209" t="s">
        <v>1521</v>
      </c>
      <c r="S15" s="209" t="s">
        <v>1520</v>
      </c>
      <c r="T15" s="209">
        <f t="shared" si="17"/>
        <v>-5</v>
      </c>
      <c r="U15" s="209">
        <f t="shared" si="18"/>
        <v>-5</v>
      </c>
      <c r="V15" s="79"/>
      <c r="W15" s="166">
        <f t="shared" si="19"/>
        <v>-10</v>
      </c>
      <c r="X15" s="209">
        <f>VLOOKUP(R15,$AD$1:$AG$7,4,0)+VLOOKUP(S15,$AD$1:$AG$7,4,0)+VLOOKUP(P15,$AF$9:$AG$18,2,0)+IF(ISERROR(VLOOKUP(N15,$J$2:$J$13,1,0)),0,1)+IF($AG$21=1,IF(ISERROR(VLOOKUP(N15,Szarmaztatas!$H$5:$H$14,1,0)),0,1),0)</f>
        <v>0</v>
      </c>
      <c r="Y15" s="72" t="str">
        <f t="shared" si="20"/>
        <v/>
      </c>
      <c r="Z15" s="225"/>
      <c r="AA15" s="209">
        <f>IF(V15=0,0,VLOOKUP(V15,Szarmaztatas!$B$4:$F$28,Q15+1,FALSE))</f>
        <v>0</v>
      </c>
      <c r="AD15" s="55" t="s">
        <v>648</v>
      </c>
      <c r="AE15" s="55">
        <f>IF(ISERROR(VLOOKUP("Fáradhatatlan*",A27:B32,1,0)),IF(ISERROR(VLOOKUP("Fáradhatatlan*",F27:G32,1,0)),IF(ISERROR(VLOOKUP("Fáradhatatlan*",A36:B40,1,0)),0,VLOOKUP("Fáradhatatlan*",A36:B40,2,0)),VLOOKUP("Fáradhatatlan*",F27:G32,2,0)),VLOOKUP("Fáradhatatlan*",A27:B32,2,0))</f>
        <v>0</v>
      </c>
      <c r="AF15" t="s">
        <v>1096</v>
      </c>
      <c r="AG15" s="55">
        <f>IF(ISERROR(VLOOKUP("Pallérozott elme",A27:B32,1,0)),IF(ISERROR(VLOOKUP("Pallérozott elme",F27:G32,1,0)),IF(ISERROR(VLOOKUP("Pallérozott elme",A36:B40,1,0)),0,1),1),1)</f>
        <v>0</v>
      </c>
      <c r="AH15" s="55">
        <f>IF(ISERROR(VLOOKUP("Nyelvérzék",A27:B32,1,0)),IF(ISERROR(VLOOKUP("Nyelvérzék hiánya",C27:C32,1,0)),0,-1),1)</f>
        <v>0</v>
      </c>
      <c r="AI15" s="55"/>
      <c r="AJ15" s="73" t="s">
        <v>1240</v>
      </c>
      <c r="AK15">
        <f>VLOOKUP(AJ15,Karakterlap!$N$2:$Q$72,4,0)</f>
        <v>1</v>
      </c>
      <c r="AL15" s="55"/>
      <c r="AM15" s="56"/>
      <c r="AN15" s="55"/>
      <c r="AO15" s="55"/>
      <c r="AP15" s="55"/>
      <c r="AQ15" s="55"/>
      <c r="AR15" s="55"/>
      <c r="AS15" s="55"/>
    </row>
    <row r="16" spans="1:45" x14ac:dyDescent="0.25">
      <c r="A16" s="142" t="s">
        <v>1517</v>
      </c>
      <c r="B16" s="124" t="s">
        <v>1525</v>
      </c>
      <c r="C16" s="124" t="s">
        <v>1526</v>
      </c>
      <c r="D16" s="124" t="s">
        <v>1527</v>
      </c>
      <c r="E16" s="124" t="s">
        <v>1526</v>
      </c>
      <c r="F16" s="124" t="s">
        <v>1528</v>
      </c>
      <c r="G16" s="125" t="s">
        <v>1526</v>
      </c>
      <c r="J16" s="168"/>
      <c r="K16" s="168"/>
      <c r="L16" s="13" t="str">
        <f>IF(ISERROR(VLOOKUP(K16,Karakterlap!$AJ$4:$AK$70,2,0)),"",VLOOKUP(K16,Karakterlap!$AJ$4:$AK$70,2,0))</f>
        <v/>
      </c>
      <c r="M16" s="86"/>
      <c r="N16" s="80" t="s">
        <v>2036</v>
      </c>
      <c r="O16" s="224"/>
      <c r="P16" t="s">
        <v>1085</v>
      </c>
      <c r="Q16">
        <f>VLOOKUP(P16,$AG$35:$AH$44,2,0)</f>
        <v>2</v>
      </c>
      <c r="R16" t="s">
        <v>1521</v>
      </c>
      <c r="S16" t="s">
        <v>1519</v>
      </c>
      <c r="T16">
        <f t="shared" si="17"/>
        <v>-5</v>
      </c>
      <c r="U16">
        <f t="shared" si="18"/>
        <v>-5</v>
      </c>
      <c r="V16" s="78"/>
      <c r="W16" s="137">
        <f t="shared" si="19"/>
        <v>-10</v>
      </c>
      <c r="X16">
        <f>VLOOKUP(R16,$AD$1:$AG$7,4,0)+VLOOKUP(S16,$AD$1:$AG$7,4,0)+VLOOKUP(P16,$AF$9:$AG$18,2,0)+IF(ISERROR(VLOOKUP(N16,$J$2:$J$13,1,0)),0,1)+IF($AG$21=1,IF(ISERROR(VLOOKUP(N16,Szarmaztatas!$H$5:$H$14,1,0)),0,1),0)</f>
        <v>0</v>
      </c>
      <c r="Y16" s="53" t="str">
        <f t="shared" si="20"/>
        <v/>
      </c>
      <c r="Z16" s="227"/>
      <c r="AA16">
        <f>IF(V16=0,0,VLOOKUP(V16,Szarmaztatas!$B$4:$F$28,Q16+1,FALSE))</f>
        <v>0</v>
      </c>
      <c r="AD16" s="55" t="s">
        <v>647</v>
      </c>
      <c r="AE16" s="55">
        <f>IF(ISERROR(VLOOKUP("Fáradékony*",C27:D32,1,0)),IF(ISERROR(VLOOKUP("Fáradékony*",H27:I32,1,0)),IF(ISERROR(VLOOKUP("Fáradékony*",C36:D40,1,0)),0,VLOOKUP("Fáradékony*",C36:D40,2,0)),VLOOKUP("Fáradékony*",H27:I32,2,0)),VLOOKUP("Fáradékony*",C27:D32,2,0))</f>
        <v>0</v>
      </c>
      <c r="AF16" t="s">
        <v>1093</v>
      </c>
      <c r="AG16" s="55">
        <f>IF(ISERROR(VLOOKUP("Pallérozott elme",A27:B32,1,0)),IF(ISERROR(VLOOKUP("Pallérozott elme",F27:G32,1,0)),IF(ISERROR(VLOOKUP("Pallérozott elme",A36:B40,1,0)),0,1),1),1)</f>
        <v>0</v>
      </c>
      <c r="AH16" s="55">
        <f>IF(ISERROR(VLOOKUP("Tudós",A27:B32,1,0)),IF(ISERROR(VLOOKUP("Gyakorlati elme",C27:C32,1,0)),0,-1),1)</f>
        <v>0</v>
      </c>
      <c r="AI16" s="55"/>
      <c r="AJ16" s="73" t="s">
        <v>1242</v>
      </c>
      <c r="AK16" t="e">
        <f>VLOOKUP(AJ16,Karakterlap!$N$2:$Q$72,4,0)</f>
        <v>#N/A</v>
      </c>
      <c r="AL16" s="55"/>
      <c r="AM16" s="56"/>
      <c r="AN16" s="55"/>
      <c r="AO16" s="55"/>
      <c r="AP16" s="55"/>
      <c r="AQ16" s="55"/>
      <c r="AR16" s="55"/>
      <c r="AS16" s="56"/>
    </row>
    <row r="17" spans="1:45" x14ac:dyDescent="0.25">
      <c r="A17" s="123" t="s">
        <v>1518</v>
      </c>
      <c r="B17" s="141"/>
      <c r="C17" s="33" t="str">
        <f>IF(B17="","",VLOOKUP(B17, Szarmaztatas!P$3:Q$23,2))</f>
        <v/>
      </c>
      <c r="D17" s="141"/>
      <c r="E17" s="33" t="str">
        <f>IF(D17="","",VLOOKUP(D17, Szarmaztatas!P$3:Q$23,2))</f>
        <v/>
      </c>
      <c r="F17" s="133"/>
      <c r="G17" s="23" t="str">
        <f>IF(F17="","",VLOOKUP(F17, Szarmaztatas!P$3:Q$23,2))</f>
        <v/>
      </c>
      <c r="J17" s="168"/>
      <c r="K17" s="168"/>
      <c r="L17" s="13" t="str">
        <f>IF(ISERROR(VLOOKUP(K17,Karakterlap!$AJ$4:$AK$70,2,0)),"",VLOOKUP(K17,Karakterlap!$AJ$4:$AK$70,2,0))</f>
        <v/>
      </c>
      <c r="M17" s="86"/>
      <c r="N17" s="80" t="s">
        <v>1244</v>
      </c>
      <c r="O17" s="224"/>
      <c r="P17" t="s">
        <v>1085</v>
      </c>
      <c r="Q17">
        <f t="shared" ref="Q17:Q25" si="21">VLOOKUP(P17,$AG$35:$AH$44,2,0)</f>
        <v>2</v>
      </c>
      <c r="R17" t="s">
        <v>1520</v>
      </c>
      <c r="S17" t="s">
        <v>1519</v>
      </c>
      <c r="T17">
        <f t="shared" si="17"/>
        <v>-5</v>
      </c>
      <c r="U17">
        <f t="shared" si="18"/>
        <v>-5</v>
      </c>
      <c r="V17" s="78"/>
      <c r="W17" s="137">
        <f t="shared" si="19"/>
        <v>-10</v>
      </c>
      <c r="X17">
        <f>VLOOKUP(R17,$AD$1:$AG$7,4,0)+VLOOKUP(S17,$AD$1:$AG$7,4,0)+VLOOKUP(P17,$AF$9:$AG$18,2,0)+IF(ISERROR(VLOOKUP(N17,$J$2:$J$13,1,0)),0,1)+IF($AG$21=1,IF(ISERROR(VLOOKUP(N17,Szarmaztatas!$H$5:$H$14,1,0)),0,1),0)</f>
        <v>0</v>
      </c>
      <c r="Y17" s="53" t="str">
        <f t="shared" si="20"/>
        <v/>
      </c>
      <c r="Z17" s="227"/>
      <c r="AA17">
        <f>IF(V17=0,0,VLOOKUP(V17,Szarmaztatas!$B$4:$F$28,Q17+1,FALSE))</f>
        <v>0</v>
      </c>
      <c r="AD17" s="55" t="s">
        <v>644</v>
      </c>
      <c r="AE17" s="55">
        <f>IF(ISERROR(VLOOKUP("Kitartó*",A27:B32,1,0)),IF(ISERROR(VLOOKUP("Kitartó*",F27:G32,1,0)),IF(ISERROR(VLOOKUP("Kitartó*",A36:B40,1,0)),0,VLOOKUP("Kitartó*",A36:B40,2,0)),VLOOKUP("Kitartó*",F27:G32,2,0)),VLOOKUP("Kitartó*",A27:B32,2,0))</f>
        <v>0</v>
      </c>
      <c r="AF17" t="s">
        <v>251</v>
      </c>
      <c r="AG17" s="55">
        <f>IF(ISERROR(VLOOKUP("Ősmágia",A27:B32,1,0)),IF(ISERROR(VLOOKUP("Ősmágia",F27:G32,1,0)),IF(ISERROR(VLOOKUP("Ősmágia",A36:B40,1,0)),0,1),1),1)</f>
        <v>0</v>
      </c>
      <c r="AH17" s="55"/>
      <c r="AI17" s="55"/>
      <c r="AJ17" s="73" t="s">
        <v>1244</v>
      </c>
      <c r="AK17">
        <f>VLOOKUP(AJ17,Karakterlap!$N$2:$Q$72,4,0)</f>
        <v>2</v>
      </c>
      <c r="AL17" s="55"/>
      <c r="AM17" s="56"/>
      <c r="AN17" s="55"/>
      <c r="AO17" s="55"/>
      <c r="AP17" s="55"/>
      <c r="AQ17" s="55"/>
      <c r="AR17" s="55"/>
      <c r="AS17" s="56"/>
    </row>
    <row r="18" spans="1:45" x14ac:dyDescent="0.25">
      <c r="A18" s="123" t="s">
        <v>1519</v>
      </c>
      <c r="B18" s="141"/>
      <c r="C18" s="33" t="str">
        <f>IF(B18="","",VLOOKUP(B18, Szarmaztatas!P$3:Q$23,2))</f>
        <v/>
      </c>
      <c r="D18" s="141"/>
      <c r="E18" s="33" t="str">
        <f>IF(D18="","",VLOOKUP(D18, Szarmaztatas!P$3:Q$23,2))</f>
        <v/>
      </c>
      <c r="F18" s="133"/>
      <c r="G18" s="23" t="str">
        <f>IF(F18="","",VLOOKUP(F18, Szarmaztatas!P$3:Q$23,2))</f>
        <v/>
      </c>
      <c r="J18" s="168"/>
      <c r="K18" s="168"/>
      <c r="L18" s="13" t="str">
        <f>IF(ISERROR(VLOOKUP(K18,Karakterlap!$AJ$4:$AK$70,2,0)),"",VLOOKUP(K18,Karakterlap!$AJ$4:$AK$70,2,0))</f>
        <v/>
      </c>
      <c r="M18" s="86"/>
      <c r="N18" s="82" t="s">
        <v>1246</v>
      </c>
      <c r="O18" s="226"/>
      <c r="P18" s="74" t="s">
        <v>1085</v>
      </c>
      <c r="Q18">
        <f t="shared" si="21"/>
        <v>2</v>
      </c>
      <c r="R18" s="74" t="s">
        <v>1521</v>
      </c>
      <c r="S18" s="74" t="s">
        <v>1523</v>
      </c>
      <c r="T18" s="74">
        <f t="shared" si="17"/>
        <v>-5</v>
      </c>
      <c r="U18" s="74">
        <f t="shared" si="18"/>
        <v>-5</v>
      </c>
      <c r="V18" s="85"/>
      <c r="W18" s="167">
        <f t="shared" si="19"/>
        <v>-10</v>
      </c>
      <c r="X18" s="74">
        <f>VLOOKUP(R18,$AD$1:$AG$7,4,0)+VLOOKUP(S18,$AD$1:$AG$7,4,0)+VLOOKUP(P18,$AF$9:$AG$18,2,0)+IF(ISERROR(VLOOKUP(N18,$J$2:$J$13,1,0)),0,1)+IF($AG$21=1,IF(ISERROR(VLOOKUP(N18,Szarmaztatas!$H$5:$H$14,1,0)),0,1),0)</f>
        <v>0</v>
      </c>
      <c r="Y18" s="75" t="str">
        <f t="shared" si="20"/>
        <v/>
      </c>
      <c r="Z18" s="226"/>
      <c r="AA18" s="74">
        <f>IF(V18=0,0,VLOOKUP(V18,Szarmaztatas!$B$4:$F$28,Q18+1,FALSE))</f>
        <v>0</v>
      </c>
      <c r="AD18" s="55" t="s">
        <v>1551</v>
      </c>
      <c r="AE18" s="55">
        <f>IF(ISERROR(VLOOKUP("Dekoncentrált*",C27:D32,1,0)),IF(ISERROR(VLOOKUP("Dekoncentrált*",H27:I32,1,0)),IF(ISERROR(VLOOKUP("Dekoncentrált*",C36:D40,1,0)),0,VLOOKUP("Dekoncentrált*",C36:D40,2,0)),VLOOKUP("Dekoncentrált*",H27:I32,2,0)),VLOOKUP("Dekoncentrált*",C27:D32,2,0))</f>
        <v>0</v>
      </c>
      <c r="AF18" t="s">
        <v>1098</v>
      </c>
      <c r="AI18" s="55"/>
      <c r="AJ18" s="73" t="s">
        <v>1246</v>
      </c>
      <c r="AK18">
        <f>VLOOKUP(AJ18,Karakterlap!$N$2:$Q$72,4,0)</f>
        <v>2</v>
      </c>
      <c r="AL18" s="55"/>
      <c r="AM18" s="55"/>
      <c r="AN18" s="55"/>
      <c r="AO18" s="55"/>
      <c r="AP18" s="55"/>
      <c r="AQ18" s="55"/>
      <c r="AR18" s="55"/>
      <c r="AS18" s="56"/>
    </row>
    <row r="19" spans="1:45" x14ac:dyDescent="0.25">
      <c r="A19" s="123" t="s">
        <v>1520</v>
      </c>
      <c r="B19" s="141"/>
      <c r="C19" s="33" t="str">
        <f>IF(B19="","",VLOOKUP(B19, Szarmaztatas!P$3:Q$23,2))</f>
        <v/>
      </c>
      <c r="D19" s="141"/>
      <c r="E19" s="33" t="str">
        <f>IF(D19="","",VLOOKUP(D19, Szarmaztatas!P$3:Q$23,2))</f>
        <v/>
      </c>
      <c r="F19" s="133"/>
      <c r="G19" s="23" t="str">
        <f>IF(F19="","",VLOOKUP(F19, Szarmaztatas!P$3:Q$23,2))</f>
        <v/>
      </c>
      <c r="J19" s="168"/>
      <c r="K19" s="168"/>
      <c r="L19" s="13" t="str">
        <f>IF(ISERROR(VLOOKUP(K19,Karakterlap!$AJ$4:$AK$70,2,0)),"",VLOOKUP(K19,Karakterlap!$AJ$4:$AK$70,2,0))</f>
        <v/>
      </c>
      <c r="M19" s="86"/>
      <c r="N19" s="80" t="s">
        <v>1247</v>
      </c>
      <c r="O19" s="224"/>
      <c r="P19" t="s">
        <v>808</v>
      </c>
      <c r="Q19">
        <f t="shared" si="21"/>
        <v>2</v>
      </c>
      <c r="R19" t="s">
        <v>1521</v>
      </c>
      <c r="S19" t="s">
        <v>1522</v>
      </c>
      <c r="T19">
        <f t="shared" si="17"/>
        <v>-5</v>
      </c>
      <c r="U19">
        <f t="shared" si="18"/>
        <v>-5</v>
      </c>
      <c r="V19" s="78"/>
      <c r="W19" s="137">
        <f t="shared" si="19"/>
        <v>-10</v>
      </c>
      <c r="X19">
        <f>VLOOKUP(R19,$AD$1:$AG$7,4,0)+VLOOKUP(S19,$AD$1:$AG$7,4,0)+VLOOKUP(P19,$AF$9:$AG$18,2,0)+IF(ISERROR(VLOOKUP(N19,$J$2:$J$13,1,0)),0,1)+IF($AG$21=1,IF(ISERROR(VLOOKUP(N19,Szarmaztatas!$H$5:$H$14,1,0)),0,1),0)</f>
        <v>0</v>
      </c>
      <c r="Y19" s="53" t="str">
        <f t="shared" si="20"/>
        <v/>
      </c>
      <c r="Z19" s="227"/>
      <c r="AA19">
        <f>IF(V19=0,0,VLOOKUP(V19,Szarmaztatas!$B$4:$F$28,Q19+1,FALSE))</f>
        <v>0</v>
      </c>
      <c r="AD19" s="55" t="s">
        <v>423</v>
      </c>
      <c r="AE19" s="55">
        <f>IF(B8="Likantróp",IF(ISERROR(VLOOKUP("Fenevad ereje",F27:G32,1,0)),0,6),0)</f>
        <v>0</v>
      </c>
      <c r="AF19" t="s">
        <v>424</v>
      </c>
      <c r="AG19" s="55"/>
      <c r="AH19" s="55">
        <f>IF(ISERROR(VLOOKUP("Illékony",A27:B32,1,0)),0,1)</f>
        <v>0</v>
      </c>
      <c r="AI19" s="55"/>
      <c r="AJ19" s="73" t="s">
        <v>1247</v>
      </c>
      <c r="AK19">
        <f>VLOOKUP(AJ19,Karakterlap!$N$2:$Q$72,4,0)</f>
        <v>2</v>
      </c>
      <c r="AL19" s="55"/>
      <c r="AM19" s="55"/>
      <c r="AN19" s="55"/>
      <c r="AO19" s="55"/>
      <c r="AP19" s="55"/>
      <c r="AQ19" s="55"/>
      <c r="AR19" s="55"/>
      <c r="AS19" s="56"/>
    </row>
    <row r="20" spans="1:45" x14ac:dyDescent="0.25">
      <c r="A20" s="123" t="s">
        <v>1522</v>
      </c>
      <c r="B20" s="141"/>
      <c r="C20" s="33" t="str">
        <f>IF(B20="","",VLOOKUP(B20, Szarmaztatas!P$3:Q$23,2))</f>
        <v/>
      </c>
      <c r="D20" s="141"/>
      <c r="E20" s="33" t="str">
        <f>IF(D20="","",VLOOKUP(D20, Szarmaztatas!P$3:Q$23,2))</f>
        <v/>
      </c>
      <c r="F20" s="133"/>
      <c r="G20" s="23" t="str">
        <f>IF(F20="","",VLOOKUP(F20, Szarmaztatas!P$3:Q$23,2))</f>
        <v/>
      </c>
      <c r="J20" s="172"/>
      <c r="K20" s="168"/>
      <c r="L20" s="13" t="str">
        <f>IF(ISERROR(VLOOKUP(K20,Karakterlap!$AJ$4:$AK$70,2,0)),"",VLOOKUP(K20,Karakterlap!$AJ$4:$AK$70,2,0))</f>
        <v/>
      </c>
      <c r="M20" s="86"/>
      <c r="N20" s="80" t="s">
        <v>1733</v>
      </c>
      <c r="O20" s="224"/>
      <c r="P20" t="s">
        <v>808</v>
      </c>
      <c r="Q20">
        <f t="shared" si="21"/>
        <v>2</v>
      </c>
      <c r="R20" t="s">
        <v>1521</v>
      </c>
      <c r="S20" t="s">
        <v>1522</v>
      </c>
      <c r="T20">
        <f t="shared" si="17"/>
        <v>-5</v>
      </c>
      <c r="U20">
        <f t="shared" si="18"/>
        <v>-5</v>
      </c>
      <c r="V20" s="78"/>
      <c r="W20" s="137">
        <f t="shared" si="19"/>
        <v>-10</v>
      </c>
      <c r="X20">
        <f>VLOOKUP(R20,$AD$1:$AG$7,4,0)+VLOOKUP(S20,$AD$1:$AG$7,4,0)+VLOOKUP(P20,$AF$9:$AG$18,2,0)+IF(ISERROR(VLOOKUP(N20,$J$2:$J$13,1,0)),0,1)+IF($AG$21=1,IF(ISERROR(VLOOKUP(N20,Szarmaztatas!$H$5:$H$14,1,0)),0,1),0)</f>
        <v>0</v>
      </c>
      <c r="Y20" s="53" t="str">
        <f t="shared" si="20"/>
        <v/>
      </c>
      <c r="Z20" s="227"/>
      <c r="AA20">
        <f>IF(V20=0,0,VLOOKUP(V20,Szarmaztatas!$B$4:$F$28,Q20+1,FALSE))</f>
        <v>0</v>
      </c>
      <c r="AD20" s="55" t="s">
        <v>1868</v>
      </c>
      <c r="AE20" s="55">
        <f>IF(ISERROR(VLOOKUP("Nagy*",F27:G31,1,0)),IF(ISERROR(VLOOKUP("Kicsi*",H27:I31,1,0)),0,(-1)*VLOOKUP("Kicsi*",H27:I31,2,0)),3*VLOOKUP("Nagy*",F27:G31,2,0))</f>
        <v>0</v>
      </c>
      <c r="AF20" s="57" t="s">
        <v>1871</v>
      </c>
      <c r="AG20" s="55">
        <f>IF(ISERROR(VLOOKUP("Szűz kéz",A27:B32,1,0)),0,1)</f>
        <v>0</v>
      </c>
      <c r="AH20" s="57"/>
      <c r="AI20" s="55"/>
      <c r="AJ20" t="s">
        <v>401</v>
      </c>
      <c r="AK20">
        <v>2</v>
      </c>
      <c r="AL20" s="55"/>
      <c r="AM20" s="55"/>
      <c r="AN20" s="55"/>
      <c r="AO20" s="55"/>
      <c r="AP20" s="55"/>
      <c r="AQ20" s="55"/>
      <c r="AR20" s="55"/>
      <c r="AS20" s="56"/>
    </row>
    <row r="21" spans="1:45" x14ac:dyDescent="0.25">
      <c r="A21" s="123" t="s">
        <v>1521</v>
      </c>
      <c r="B21" s="141"/>
      <c r="C21" s="33" t="str">
        <f>IF(B21="","",VLOOKUP(B21, Szarmaztatas!P$3:Q$23,2))</f>
        <v/>
      </c>
      <c r="D21" s="98">
        <f>B21</f>
        <v>0</v>
      </c>
      <c r="E21" s="99">
        <f>IF(D21="","",VLOOKUP(D21, Szarmaztatas!P$3:Q$23,2))</f>
        <v>-5</v>
      </c>
      <c r="F21" s="133"/>
      <c r="G21" s="23" t="str">
        <f>IF(F21="","",VLOOKUP(F21, Szarmaztatas!P$3:Q$23,2))</f>
        <v/>
      </c>
      <c r="J21" s="172"/>
      <c r="K21" s="168"/>
      <c r="L21" s="13" t="str">
        <f>IF(ISERROR(VLOOKUP(K21,Karakterlap!$AJ$4:$AK$70,2,0)),"",VLOOKUP(K21,Karakterlap!$AJ$4:$AK$70,2,0))</f>
        <v/>
      </c>
      <c r="M21" s="86"/>
      <c r="N21" s="80" t="s">
        <v>777</v>
      </c>
      <c r="O21" s="224"/>
      <c r="P21" t="s">
        <v>808</v>
      </c>
      <c r="Q21">
        <f t="shared" si="21"/>
        <v>2</v>
      </c>
      <c r="R21" t="s">
        <v>1521</v>
      </c>
      <c r="S21" t="s">
        <v>1519</v>
      </c>
      <c r="T21">
        <f t="shared" si="17"/>
        <v>-5</v>
      </c>
      <c r="U21">
        <f t="shared" si="18"/>
        <v>-5</v>
      </c>
      <c r="V21" s="78"/>
      <c r="W21" s="137">
        <f t="shared" si="19"/>
        <v>-10</v>
      </c>
      <c r="X21">
        <f>VLOOKUP(R21,$AD$1:$AG$7,4,0)+VLOOKUP(S21,$AD$1:$AG$7,4,0)+VLOOKUP(P21,$AF$9:$AG$18,2,0)+IF(ISERROR(VLOOKUP(N21,$J$2:$J$13,1,0)),0,1)+IF($AG$21=1,IF(ISERROR(VLOOKUP(N21,Szarmaztatas!$H$5:$H$14,1,0)),0,1),0)</f>
        <v>0</v>
      </c>
      <c r="Y21" s="53" t="str">
        <f t="shared" si="20"/>
        <v/>
      </c>
      <c r="Z21" s="227"/>
      <c r="AA21">
        <f>IF(V21=0,0,VLOOKUP(V21,Szarmaztatas!$B$4:$F$28,Q21+1,FALSE))</f>
        <v>0</v>
      </c>
      <c r="AD21" s="55" t="s">
        <v>1869</v>
      </c>
      <c r="AE21" s="55">
        <f>IF(ISERROR(VLOOKUP("Harmadik genotípus",A27:B32,1,0)),IF(ISERROR(VLOOKUP("Egy genotípus",C27:D32,1,0)),0,-1),1)</f>
        <v>0</v>
      </c>
      <c r="AF21" t="s">
        <v>749</v>
      </c>
      <c r="AG21">
        <f>IF(ISERROR(VLOOKUP("Vezető",A27:B32,1,0)),IF(ISERROR(VLOOKUP("Vezető",F27:G32,1,0)),IF(ISERROR(VLOOKUP("Vezető",A36:B40,1,0)),0,1),1),1)</f>
        <v>0</v>
      </c>
      <c r="AI21" s="55"/>
      <c r="AJ21" s="73" t="s">
        <v>777</v>
      </c>
      <c r="AK21">
        <f>VLOOKUP(AJ21,Karakterlap!$N$2:$Q$72,4,0)</f>
        <v>2</v>
      </c>
      <c r="AL21" s="55"/>
      <c r="AM21" s="55"/>
      <c r="AN21" s="55"/>
      <c r="AO21" s="55"/>
      <c r="AP21" s="55"/>
      <c r="AQ21" s="55"/>
      <c r="AR21" s="55"/>
      <c r="AS21" s="56"/>
    </row>
    <row r="22" spans="1:45" x14ac:dyDescent="0.25">
      <c r="A22" s="123" t="s">
        <v>1523</v>
      </c>
      <c r="B22" s="141"/>
      <c r="C22" s="33" t="str">
        <f>IF(B22="","",VLOOKUP(B22, Szarmaztatas!P$3:Q$23,2))</f>
        <v/>
      </c>
      <c r="D22" s="141"/>
      <c r="E22" s="33" t="str">
        <f>IF(D22="","",VLOOKUP(D22, Szarmaztatas!P$3:Q$23,2))</f>
        <v/>
      </c>
      <c r="F22" s="133"/>
      <c r="G22" s="23" t="str">
        <f>IF(F22="","",VLOOKUP(F22, Szarmaztatas!P$3:Q$23,2))</f>
        <v/>
      </c>
      <c r="J22" s="173"/>
      <c r="K22" s="168"/>
      <c r="L22" s="13" t="str">
        <f>IF(ISERROR(VLOOKUP(K22,Karakterlap!$AJ$4:$AK$70,2,0)),"",VLOOKUP(K22,Karakterlap!$AJ$4:$AK$70,2,0))</f>
        <v/>
      </c>
      <c r="M22" s="86"/>
      <c r="N22" s="80" t="s">
        <v>778</v>
      </c>
      <c r="O22" s="224"/>
      <c r="P22" t="s">
        <v>808</v>
      </c>
      <c r="Q22">
        <f t="shared" si="21"/>
        <v>2</v>
      </c>
      <c r="R22" t="s">
        <v>1521</v>
      </c>
      <c r="S22" t="s">
        <v>1522</v>
      </c>
      <c r="T22">
        <f t="shared" si="17"/>
        <v>-5</v>
      </c>
      <c r="U22">
        <f t="shared" si="18"/>
        <v>-5</v>
      </c>
      <c r="V22" s="78"/>
      <c r="W22" s="137">
        <f t="shared" si="19"/>
        <v>-10</v>
      </c>
      <c r="X22">
        <f>VLOOKUP(R22,$AD$1:$AG$7,4,0)+VLOOKUP(S22,$AD$1:$AG$7,4,0)+VLOOKUP(P22,$AF$9:$AG$18,2,0)+IF(ISERROR(VLOOKUP(N22,$J$2:$J$13,1,0)),0,1)+IF($AG$21=1,IF(ISERROR(VLOOKUP(N22,Szarmaztatas!$H$5:$H$14,1,0)),0,1),0)</f>
        <v>0</v>
      </c>
      <c r="Y22" s="53" t="str">
        <f t="shared" si="20"/>
        <v/>
      </c>
      <c r="Z22" s="227"/>
      <c r="AA22">
        <f>IF(V22=0,0,VLOOKUP(V22,Szarmaztatas!$B$4:$F$28,Q22+1,FALSE))</f>
        <v>0</v>
      </c>
      <c r="AD22" s="55" t="s">
        <v>458</v>
      </c>
      <c r="AE22" s="55">
        <f>IF(ISERROR(VLOOKUP("Könnyű tanulás*",A27:B32,1,0)),IF(ISERROR(VLOOKUP("Nehéz tanulás*",C27:D32,1,0)),0,(-1)*VLOOKUP("Nehéz tanulás*",C27:D32,2,0)),VLOOKUP("Könnyű tanulás*",A27:B32,2,0))</f>
        <v>0</v>
      </c>
      <c r="AF22" t="s">
        <v>752</v>
      </c>
      <c r="AG22">
        <f>IF(ISERROR(VLOOKUP("A jövő ígérete I -*",A27:B32,1,0)),IF(ISERROR(VLOOKUP("A jövő ígérete I -*",F27:G32,1,0)),IF(ISERROR(VLOOKUP("A jövő ígérete I -*",A36:B40,1,0)),0,VLOOKUP("A jövő ígérete I -*",A36:B40,2,0)),VLOOKUP("A jövő ígérete I -*",F27:G32,2,0)),VLOOKUP("A jövő ígérete I -*",A27:B32,2,0))</f>
        <v>0</v>
      </c>
      <c r="AH22">
        <f>IF(ISERROR(VLOOKUP("A jövő hiánya I -*",C27:D32,1,0)),0,VLOOKUP("A jövő hiánya I -*",C27:D32,2,0))</f>
        <v>0</v>
      </c>
      <c r="AI22" s="55"/>
      <c r="AJ22" s="73" t="s">
        <v>778</v>
      </c>
      <c r="AK22">
        <f>VLOOKUP(AJ22,Karakterlap!$N$2:$Q$72,4,0)</f>
        <v>2</v>
      </c>
      <c r="AL22" s="55"/>
      <c r="AM22" s="55"/>
      <c r="AN22" s="55"/>
      <c r="AO22" s="55"/>
      <c r="AP22" s="55"/>
      <c r="AQ22" s="55"/>
      <c r="AR22" s="55"/>
      <c r="AS22" s="56"/>
    </row>
    <row r="23" spans="1:45" x14ac:dyDescent="0.25">
      <c r="A23" s="131" t="s">
        <v>1524</v>
      </c>
      <c r="B23" s="79"/>
      <c r="C23" s="71" t="str">
        <f>IF(B23="","",VLOOKUP(B23, Szarmaztatas!P$3:Q$23,2))</f>
        <v/>
      </c>
      <c r="D23" s="100">
        <f>IF(ISERROR(VLOOKUP("Varázstalan",H27:H31,1,0)),IF(ISERROR(VLOOKUP("Mágus",F27:F31,1,0)),IF(B23+2&gt;20,20,B23+2),IF(B23+9&gt;10,10,B23+9)),2)</f>
        <v>2</v>
      </c>
      <c r="E23" s="100">
        <f>IF(D23="","",VLOOKUP(D23, Szarmaztatas!P$3:Q$23,2))</f>
        <v>-4</v>
      </c>
      <c r="F23" s="87"/>
      <c r="G23" s="94" t="str">
        <f>IF(F23="","",VLOOKUP(F23, Szarmaztatas!P$3:Q$23,2))</f>
        <v/>
      </c>
      <c r="J23" s="145" t="s">
        <v>470</v>
      </c>
      <c r="K23" s="168"/>
      <c r="L23" s="13" t="str">
        <f>IF(ISERROR(VLOOKUP(K23,Karakterlap!$AJ$4:$AK$70,2,0)),"",VLOOKUP(K23,Karakterlap!$AJ$4:$AK$70,2,0))</f>
        <v/>
      </c>
      <c r="M23" s="86"/>
      <c r="N23" s="80" t="s">
        <v>1262</v>
      </c>
      <c r="O23" s="224"/>
      <c r="P23" t="s">
        <v>808</v>
      </c>
      <c r="Q23">
        <f t="shared" si="21"/>
        <v>2</v>
      </c>
      <c r="R23" t="s">
        <v>1521</v>
      </c>
      <c r="S23" t="s">
        <v>1519</v>
      </c>
      <c r="T23">
        <f t="shared" si="17"/>
        <v>-5</v>
      </c>
      <c r="U23">
        <f t="shared" si="18"/>
        <v>-5</v>
      </c>
      <c r="V23" s="78"/>
      <c r="W23" s="137">
        <f t="shared" si="19"/>
        <v>-10</v>
      </c>
      <c r="X23">
        <f>VLOOKUP(R23,$AD$1:$AG$7,4,0)+VLOOKUP(S23,$AD$1:$AG$7,4,0)+VLOOKUP(P23,$AF$9:$AG$18,2,0)+IF(ISERROR(VLOOKUP(N23,$J$2:$J$13,1,0)),0,1)+IF($AG$21=1,IF(ISERROR(VLOOKUP(N23,Szarmaztatas!$H$5:$H$14,1,0)),0,1),0)</f>
        <v>0</v>
      </c>
      <c r="Y23" s="53" t="str">
        <f t="shared" si="20"/>
        <v/>
      </c>
      <c r="Z23" s="227"/>
      <c r="AA23">
        <f>IF(V23=0,0,VLOOKUP(V23,Szarmaztatas!$B$4:$F$28,Q23+1,FALSE))</f>
        <v>0</v>
      </c>
      <c r="AD23" s="55" t="s">
        <v>56</v>
      </c>
      <c r="AE23" s="55">
        <f>IF(ISERROR(VLOOKUP("Varázstalan",H27:H31,1,0)),0,IF(B23&gt;8,B23-8,0))</f>
        <v>0</v>
      </c>
      <c r="AF23" s="57" t="s">
        <v>753</v>
      </c>
      <c r="AG23" s="55">
        <f>IF(ISERROR(VLOOKUP("A jövő ígérete II -*",A27:B32,1,0)),IF(ISERROR(VLOOKUP("A jövő ígérete II -*",F27:G32,1,0)),IF(ISERROR(VLOOKUP("A jövő ígérete II -*",A36:B40,1,0)),0,VLOOKUP("A jövő ígérete II -*",A36:B40,2,0)),VLOOKUP("A jövő ígérete II -*",F27:G32,2,0)),VLOOKUP("A jövő ígérete II -*",A27:B32,2,0))</f>
        <v>0</v>
      </c>
      <c r="AH23" s="57">
        <f>IF(ISERROR(VLOOKUP("A jövő hiánya II -*",C27:D32,1,0)),0,VLOOKUP("A jövő hiánya II -*",C27:D32,2,0))</f>
        <v>0</v>
      </c>
      <c r="AI23" s="55"/>
      <c r="AJ23" s="73" t="s">
        <v>1262</v>
      </c>
      <c r="AK23">
        <f>VLOOKUP(AJ23,Karakterlap!$N$2:$Q$72,4,0)</f>
        <v>2</v>
      </c>
      <c r="AL23" s="55"/>
      <c r="AM23" s="55"/>
      <c r="AN23" s="55"/>
      <c r="AO23" s="55"/>
      <c r="AP23" s="55"/>
      <c r="AQ23" s="55"/>
      <c r="AR23" s="55"/>
      <c r="AS23" s="56"/>
    </row>
    <row r="24" spans="1:45" x14ac:dyDescent="0.25">
      <c r="A24" s="33" t="s">
        <v>967</v>
      </c>
      <c r="B24" s="33">
        <f>SUM(B17:B23)</f>
        <v>0</v>
      </c>
      <c r="C24" s="33" t="str">
        <f>IF(B24=E3,"jó","nem jó")</f>
        <v>nem jó</v>
      </c>
      <c r="D24" s="99">
        <f>SUM(D17:D23)</f>
        <v>2</v>
      </c>
      <c r="E24" s="99" t="str">
        <f>IF(D24=E4,"jó","nem jó")</f>
        <v>nem jó</v>
      </c>
      <c r="F24" s="33">
        <f>SUM(F17:F23)</f>
        <v>0</v>
      </c>
      <c r="G24" s="33"/>
      <c r="J24" s="168"/>
      <c r="K24" s="168"/>
      <c r="L24" s="13" t="str">
        <f>IF(ISERROR(VLOOKUP(K24,Karakterlap!$AJ$4:$AK$70,2,0)),"",VLOOKUP(K24,Karakterlap!$AJ$4:$AK$70,2,0))</f>
        <v/>
      </c>
      <c r="M24" s="86"/>
      <c r="N24" s="80" t="s">
        <v>1263</v>
      </c>
      <c r="O24" s="224"/>
      <c r="P24" t="s">
        <v>808</v>
      </c>
      <c r="Q24">
        <f t="shared" si="21"/>
        <v>2</v>
      </c>
      <c r="R24" t="s">
        <v>1521</v>
      </c>
      <c r="S24" t="s">
        <v>1519</v>
      </c>
      <c r="T24">
        <f t="shared" si="17"/>
        <v>-5</v>
      </c>
      <c r="U24">
        <f t="shared" si="18"/>
        <v>-5</v>
      </c>
      <c r="V24" s="78"/>
      <c r="W24" s="137">
        <f t="shared" si="19"/>
        <v>-10</v>
      </c>
      <c r="X24">
        <f>VLOOKUP(R24,$AD$1:$AG$7,4,0)+VLOOKUP(S24,$AD$1:$AG$7,4,0)+VLOOKUP(P24,$AF$9:$AG$18,2,0)+IF(ISERROR(VLOOKUP(N24,$J$2:$J$13,1,0)),0,1)+IF($AG$21=1,IF(ISERROR(VLOOKUP(N24,Szarmaztatas!$H$5:$H$14,1,0)),0,1),0)</f>
        <v>0</v>
      </c>
      <c r="Y24" s="53" t="str">
        <f t="shared" si="20"/>
        <v/>
      </c>
      <c r="Z24" s="227"/>
      <c r="AA24">
        <f>IF(V24=0,0,VLOOKUP(V24,Szarmaztatas!$B$4:$F$28,Q24+1,FALSE))</f>
        <v>0</v>
      </c>
      <c r="AD24" s="55" t="s">
        <v>829</v>
      </c>
      <c r="AE24">
        <f>IF(ISERROR(VLOOKUP("Varázstalan",H27:H31,1,0)),0,IF(B23&gt;8,5,B23-2))</f>
        <v>0</v>
      </c>
      <c r="AF24" s="57" t="s">
        <v>754</v>
      </c>
      <c r="AG24" s="55"/>
      <c r="AH24" s="57">
        <f>IF(ISERROR(VLOOKUP("Veszett tehetség*",A27:B32,1,0)),0,VLOOKUP("Veszett tehetség*",A27:B32,2,0))</f>
        <v>0</v>
      </c>
      <c r="AI24" s="55"/>
      <c r="AJ24" s="73" t="s">
        <v>1263</v>
      </c>
      <c r="AK24">
        <f>VLOOKUP(AJ24,Karakterlap!$N$2:$Q$72,4,0)</f>
        <v>2</v>
      </c>
      <c r="AL24" s="55"/>
      <c r="AM24" s="55"/>
      <c r="AN24" s="55"/>
      <c r="AO24" s="55"/>
      <c r="AP24" s="55"/>
      <c r="AQ24" s="55"/>
      <c r="AR24" s="55"/>
      <c r="AS24" s="55"/>
    </row>
    <row r="25" spans="1:45" x14ac:dyDescent="0.25">
      <c r="A25" s="142" t="s">
        <v>1431</v>
      </c>
      <c r="B25" s="124">
        <f>SUM(B27:B32)</f>
        <v>0</v>
      </c>
      <c r="C25" s="124"/>
      <c r="D25" s="125">
        <f>SUM(D27:D32)</f>
        <v>0</v>
      </c>
      <c r="F25" s="144" t="s">
        <v>966</v>
      </c>
      <c r="G25" s="124">
        <f>SUM(G27:G31)</f>
        <v>0</v>
      </c>
      <c r="H25" s="130" t="str">
        <f>IF(G25=I25,"jó","nem jó")</f>
        <v>jó</v>
      </c>
      <c r="I25" s="124">
        <f>SUM(I27:I31)</f>
        <v>0</v>
      </c>
      <c r="J25" s="168"/>
      <c r="K25" s="168"/>
      <c r="L25" s="13" t="str">
        <f>IF(ISERROR(VLOOKUP(K25,Karakterlap!$AJ$4:$AK$70,2,0)),"",VLOOKUP(K25,Karakterlap!$AJ$4:$AK$70,2,0))</f>
        <v/>
      </c>
      <c r="M25" s="87"/>
      <c r="N25" s="81" t="s">
        <v>779</v>
      </c>
      <c r="O25" s="225"/>
      <c r="P25" s="209" t="s">
        <v>808</v>
      </c>
      <c r="Q25" s="209">
        <f t="shared" si="21"/>
        <v>2</v>
      </c>
      <c r="R25" s="209" t="s">
        <v>1518</v>
      </c>
      <c r="S25" s="209" t="s">
        <v>1519</v>
      </c>
      <c r="T25" s="209">
        <f t="shared" si="17"/>
        <v>-5</v>
      </c>
      <c r="U25" s="209">
        <f t="shared" si="18"/>
        <v>-5</v>
      </c>
      <c r="V25" s="79"/>
      <c r="W25" s="166">
        <f t="shared" si="19"/>
        <v>-10</v>
      </c>
      <c r="X25" s="209">
        <f>VLOOKUP(R25,$AD$1:$AG$7,4,0)+VLOOKUP(S25,$AD$1:$AG$7,4,0)+VLOOKUP(P25,$AF$9:$AG$18,2,0)+IF(ISERROR(VLOOKUP(N25,$J$2:$J$13,1,0)),0,1)+IF($AG$21=1,IF(ISERROR(VLOOKUP(N25,Szarmaztatas!$H$5:$H$14,1,0)),0,1),0)</f>
        <v>0</v>
      </c>
      <c r="Y25" s="72" t="str">
        <f t="shared" si="20"/>
        <v/>
      </c>
      <c r="Z25" s="225"/>
      <c r="AA25" s="209">
        <f>IF(V25=0,0,VLOOKUP(V25,Szarmaztatas!$B$4:$F$28,Q25+1,FALSE))</f>
        <v>0</v>
      </c>
      <c r="AD25" s="55" t="s">
        <v>865</v>
      </c>
      <c r="AE25">
        <f>IF(ISERROR(VLOOKUP("Mágus",F27:F31,1,0)),0,D23-B23-2)</f>
        <v>0</v>
      </c>
      <c r="AF25" s="57" t="s">
        <v>755</v>
      </c>
      <c r="AG25" s="55"/>
      <c r="AH25" s="57">
        <f>IF(ISERROR(VLOOKUP("Fogékony*",A27:B32,1,0)),IF(ISERROR(VLOOKUP("Fogékony*",F27:G32,1,0)),IF(ISERROR(VLOOKUP("Fogékony*",A36:B40,1,0)),0,VLOOKUP("Fogékony*",A36:B40,2,0)),VLOOKUP("Fogékony*",F27:G32,2,0)),VLOOKUP("Fogékony*",A27:B32,2,0))</f>
        <v>0</v>
      </c>
      <c r="AI25" s="55"/>
      <c r="AJ25" s="73" t="s">
        <v>779</v>
      </c>
      <c r="AK25">
        <f>VLOOKUP(AJ25,Karakterlap!$N$2:$Q$72,4,0)</f>
        <v>2</v>
      </c>
      <c r="AL25" s="55"/>
      <c r="AM25" s="55"/>
      <c r="AN25" s="55"/>
      <c r="AO25" s="55"/>
      <c r="AP25" s="55"/>
      <c r="AQ25" s="55"/>
      <c r="AR25" s="55"/>
      <c r="AS25" s="55"/>
    </row>
    <row r="26" spans="1:45" x14ac:dyDescent="0.25">
      <c r="A26" s="80" t="s">
        <v>413</v>
      </c>
      <c r="B26" s="33" t="s">
        <v>1532</v>
      </c>
      <c r="C26" s="33" t="s">
        <v>412</v>
      </c>
      <c r="D26" s="23" t="s">
        <v>1532</v>
      </c>
      <c r="F26" s="80" t="s">
        <v>413</v>
      </c>
      <c r="G26" s="33" t="s">
        <v>1532</v>
      </c>
      <c r="H26" s="33" t="s">
        <v>412</v>
      </c>
      <c r="I26" s="33" t="s">
        <v>1532</v>
      </c>
      <c r="J26" s="168"/>
      <c r="K26" s="168"/>
      <c r="L26" s="13" t="str">
        <f>IF(ISERROR(VLOOKUP(K26,Karakterlap!$AJ$4:$AK$70,2,0)),"",VLOOKUP(K26,Karakterlap!$AJ$4:$AK$70,2,0))</f>
        <v/>
      </c>
      <c r="M26" s="86"/>
      <c r="N26" s="80" t="s">
        <v>780</v>
      </c>
      <c r="O26" s="224"/>
      <c r="P26" t="s">
        <v>1087</v>
      </c>
      <c r="Q26">
        <f>VLOOKUP(P26,$AG$35:$AH$44,2,0)</f>
        <v>2</v>
      </c>
      <c r="R26" t="s">
        <v>1518</v>
      </c>
      <c r="S26" t="s">
        <v>1518</v>
      </c>
      <c r="T26">
        <f t="shared" si="17"/>
        <v>-5</v>
      </c>
      <c r="U26">
        <f t="shared" si="18"/>
        <v>-5</v>
      </c>
      <c r="V26" s="78"/>
      <c r="W26" s="137">
        <f t="shared" si="19"/>
        <v>-10</v>
      </c>
      <c r="X26">
        <f>VLOOKUP(R26,$AD$1:$AG$7,4,0)+VLOOKUP(S26,$AD$1:$AG$7,4,0)+VLOOKUP(P26,$AF$9:$AG$18,2,0)+IF(ISERROR(VLOOKUP(N26,$J$2:$J$13,1,0)),0,1)+IF($AG$21=1,IF(ISERROR(VLOOKUP(N26,Szarmaztatas!$H$5:$H$14,1,0)),0,1),0)</f>
        <v>0</v>
      </c>
      <c r="Y26" s="53" t="str">
        <f t="shared" si="20"/>
        <v/>
      </c>
      <c r="Z26" s="227"/>
      <c r="AA26">
        <f>IF(V26=0,0,VLOOKUP(V26,Szarmaztatas!$B$4:$F$28,Q26+1,FALSE))</f>
        <v>0</v>
      </c>
      <c r="AD26" s="55" t="s">
        <v>1870</v>
      </c>
      <c r="AE26" s="55">
        <f>IF(ISERROR(VLOOKUP("Stabil*",F27:G31,1,0)),IF(ISERROR(VLOOKUP("Labilis*",H27:I31,1,0)),0,(-1)*VLOOKUP("Labilis*",H27:I31,2,0)),VLOOKUP("Stabil*",F27:G31,2,0))</f>
        <v>0</v>
      </c>
      <c r="AF26" s="57" t="s">
        <v>1550</v>
      </c>
      <c r="AG26" s="55"/>
      <c r="AH26" s="55">
        <f>IF(ISERROR(VLOOKUP("Állatalak",H27:H31,1,0)),0,-1)</f>
        <v>0</v>
      </c>
      <c r="AI26" s="55"/>
      <c r="AJ26" s="73" t="s">
        <v>780</v>
      </c>
      <c r="AK26">
        <f>VLOOKUP(AJ26,Karakterlap!$N$2:$Q$72,4,0)</f>
        <v>2</v>
      </c>
      <c r="AL26" s="55"/>
      <c r="AM26" s="55"/>
      <c r="AN26" s="55"/>
      <c r="AO26" s="55"/>
      <c r="AP26" s="55"/>
      <c r="AQ26" s="55"/>
      <c r="AR26" s="55"/>
      <c r="AS26" s="55"/>
    </row>
    <row r="27" spans="1:45" x14ac:dyDescent="0.25">
      <c r="A27" s="92"/>
      <c r="B27" s="33" t="str">
        <f>IF(A27="","",VLOOKUP(A27,EH!B:C,2,0))</f>
        <v/>
      </c>
      <c r="C27" s="93"/>
      <c r="D27" s="23" t="str">
        <f>IF(C27="","",VLOOKUP(C27,EH!K:L,2,0))</f>
        <v/>
      </c>
      <c r="F27" s="92"/>
      <c r="G27" s="33" t="str">
        <f>IF(F27="","",VLOOKUP(F27,EH!F:G,2,0))</f>
        <v/>
      </c>
      <c r="H27" s="93"/>
      <c r="I27" s="33" t="str">
        <f>IF(H27="","",VLOOKUP(H27,EH!O:P,2,0))</f>
        <v/>
      </c>
      <c r="J27" s="169"/>
      <c r="K27" s="168"/>
      <c r="L27" s="13" t="str">
        <f>IF(ISERROR(VLOOKUP(K27,Karakterlap!$AJ$4:$AK$70,2,0)),"",VLOOKUP(K27,Karakterlap!$AJ$4:$AK$70,2,0))</f>
        <v/>
      </c>
      <c r="M27" s="86"/>
      <c r="N27" s="80" t="s">
        <v>1264</v>
      </c>
      <c r="O27" s="224"/>
      <c r="P27" t="s">
        <v>1087</v>
      </c>
      <c r="Q27">
        <f t="shared" ref="Q27:Q32" si="22">VLOOKUP(P27,$AG$35:$AH$44,2,0)</f>
        <v>2</v>
      </c>
      <c r="R27" t="s">
        <v>1518</v>
      </c>
      <c r="S27" t="s">
        <v>1519</v>
      </c>
      <c r="T27">
        <f t="shared" si="17"/>
        <v>-5</v>
      </c>
      <c r="U27">
        <f t="shared" si="18"/>
        <v>-5</v>
      </c>
      <c r="V27" s="78"/>
      <c r="W27" s="137">
        <f t="shared" si="19"/>
        <v>-10</v>
      </c>
      <c r="X27">
        <f>VLOOKUP(R27,$AD$1:$AG$7,4,0)+VLOOKUP(S27,$AD$1:$AG$7,4,0)+VLOOKUP(P27,$AF$9:$AG$18,2,0)+IF(ISERROR(VLOOKUP(N27,$J$2:$J$13,1,0)),0,1)+IF($AG$21=1,IF(ISERROR(VLOOKUP(N27,Szarmaztatas!$H$5:$H$14,1,0)),0,1),0)</f>
        <v>0</v>
      </c>
      <c r="Y27" s="53" t="str">
        <f t="shared" si="20"/>
        <v/>
      </c>
      <c r="Z27" s="227"/>
      <c r="AA27">
        <f>IF(V27=0,0,VLOOKUP(V27,Szarmaztatas!$B$4:$F$28,Q27+1,FALSE))</f>
        <v>0</v>
      </c>
      <c r="AD27" s="55" t="s">
        <v>294</v>
      </c>
      <c r="AE27" s="55">
        <f>IF(ISERROR(VLOOKUP("Túlfejlett - 2 (f*",C27:C32,1,0)),IF(ISERROR(VLOOKUP("Túlfejlett - 2 (f*",H27:H32,1,0)),IF(ISERROR(VLOOKUP("Túlfejlett - 2 (f*",C36:C40,1,0)),0,-1),-1),-1)</f>
        <v>0</v>
      </c>
      <c r="AF27" s="55" t="s">
        <v>1938</v>
      </c>
      <c r="AG27" s="55"/>
      <c r="AH27" s="55">
        <f>IF(ISERROR(VLOOKUP("Jóstehetség",A27:B32,1,0)),0,1)</f>
        <v>0</v>
      </c>
      <c r="AI27" s="55"/>
      <c r="AJ27" s="73" t="s">
        <v>1264</v>
      </c>
      <c r="AK27">
        <f>VLOOKUP(AJ27,Karakterlap!$N$2:$Q$72,4,0)</f>
        <v>2</v>
      </c>
      <c r="AL27" s="55"/>
      <c r="AM27" s="55"/>
      <c r="AN27" s="55"/>
      <c r="AO27" s="55"/>
      <c r="AP27" s="55"/>
      <c r="AQ27" s="55"/>
      <c r="AR27" s="55"/>
      <c r="AS27" s="55"/>
    </row>
    <row r="28" spans="1:45" x14ac:dyDescent="0.25">
      <c r="A28" s="92"/>
      <c r="B28" s="33" t="str">
        <f>IF(A28="","",VLOOKUP(A28,EH!B:C,2,0))</f>
        <v/>
      </c>
      <c r="C28" s="93"/>
      <c r="D28" s="23" t="str">
        <f>IF(C28="","",VLOOKUP(C28,EH!K:L,2,0))</f>
        <v/>
      </c>
      <c r="F28" s="92"/>
      <c r="G28" s="33" t="str">
        <f>IF(F28="","",VLOOKUP(F28,EH!F:G,2,0))</f>
        <v/>
      </c>
      <c r="H28" s="93"/>
      <c r="I28" s="23" t="str">
        <f>IF(H28="","",VLOOKUP(H28,EH!O:P,2,0))</f>
        <v/>
      </c>
      <c r="J28" s="84"/>
      <c r="K28" s="170" t="str">
        <f>IF(L28=AH25*3,"jó","nem jó")</f>
        <v>jó</v>
      </c>
      <c r="L28" s="171">
        <f>SUM(L16:L27)</f>
        <v>0</v>
      </c>
      <c r="M28" s="86"/>
      <c r="N28" s="80" t="s">
        <v>781</v>
      </c>
      <c r="O28" s="224"/>
      <c r="P28" t="s">
        <v>1087</v>
      </c>
      <c r="Q28">
        <f t="shared" si="22"/>
        <v>2</v>
      </c>
      <c r="R28" t="s">
        <v>1519</v>
      </c>
      <c r="S28" t="s">
        <v>1520</v>
      </c>
      <c r="T28">
        <f t="shared" si="17"/>
        <v>-5</v>
      </c>
      <c r="U28">
        <f t="shared" si="18"/>
        <v>-5</v>
      </c>
      <c r="V28" s="78"/>
      <c r="W28" s="137">
        <f t="shared" si="19"/>
        <v>-10</v>
      </c>
      <c r="X28">
        <f>VLOOKUP(R28,$AD$1:$AG$7,4,0)+VLOOKUP(S28,$AD$1:$AG$7,4,0)+VLOOKUP(P28,$AF$9:$AG$18,2,0)+IF(ISERROR(VLOOKUP(N28,$J$2:$J$13,1,0)),0,1)+IF($AG$21=1,IF(ISERROR(VLOOKUP(N28,Szarmaztatas!$H$5:$H$14,1,0)),0,1),0)</f>
        <v>0</v>
      </c>
      <c r="Y28" s="53" t="str">
        <f t="shared" si="20"/>
        <v/>
      </c>
      <c r="Z28" s="227"/>
      <c r="AA28">
        <f>IF(V28=0,0,VLOOKUP(V28,Szarmaztatas!$B$4:$F$28,Q28+1,FALSE))</f>
        <v>0</v>
      </c>
      <c r="AD28" s="55" t="s">
        <v>295</v>
      </c>
      <c r="AE28">
        <f>IF(ISERROR(VLOOKUP("Túlfejlett - 2 (m*",C27:C32,1,0)),IF(ISERROR(VLOOKUP("Túlfejlett - 2 (m*",H27:H32,1,0)),IF(ISERROR(VLOOKUP("Túlfejlett - 2 (m*",C36:C40,1,0)),0,-1),-1),-1)</f>
        <v>0</v>
      </c>
      <c r="AF28" s="55"/>
      <c r="AG28" s="55"/>
      <c r="AH28" s="57"/>
      <c r="AI28" s="55"/>
      <c r="AJ28" s="73" t="s">
        <v>781</v>
      </c>
      <c r="AK28">
        <f>VLOOKUP(AJ28,Karakterlap!$N$2:$Q$72,4,0)</f>
        <v>2</v>
      </c>
      <c r="AL28" s="55"/>
      <c r="AM28" s="55"/>
      <c r="AN28" s="55"/>
      <c r="AO28" s="55"/>
      <c r="AP28" s="55"/>
      <c r="AQ28" s="55"/>
      <c r="AR28" s="55"/>
      <c r="AS28" s="55"/>
    </row>
    <row r="29" spans="1:45" x14ac:dyDescent="0.25">
      <c r="A29" s="92"/>
      <c r="B29" s="33" t="str">
        <f>IF(A29="","",VLOOKUP(A29,EH!B:C,2,0))</f>
        <v/>
      </c>
      <c r="C29" s="93"/>
      <c r="D29" s="23" t="str">
        <f>IF(C29="","",VLOOKUP(C29,EH!K:L,2,0))</f>
        <v/>
      </c>
      <c r="F29" s="92"/>
      <c r="G29" s="33" t="str">
        <f>IF(F29="","",VLOOKUP(F29,EH!F:G,2,0))</f>
        <v/>
      </c>
      <c r="H29" s="93"/>
      <c r="I29" s="23" t="str">
        <f>IF(H29="","",VLOOKUP(H29,EH!O:P,2,0))</f>
        <v/>
      </c>
      <c r="J29" s="84"/>
      <c r="M29" s="86"/>
      <c r="N29" s="80" t="s">
        <v>782</v>
      </c>
      <c r="O29" s="224"/>
      <c r="P29" t="s">
        <v>1087</v>
      </c>
      <c r="Q29">
        <f t="shared" si="22"/>
        <v>2</v>
      </c>
      <c r="R29" t="s">
        <v>1519</v>
      </c>
      <c r="S29" t="s">
        <v>1520</v>
      </c>
      <c r="T29">
        <f t="shared" si="17"/>
        <v>-5</v>
      </c>
      <c r="U29">
        <f t="shared" si="18"/>
        <v>-5</v>
      </c>
      <c r="V29" s="78"/>
      <c r="W29" s="137">
        <f t="shared" si="19"/>
        <v>-10</v>
      </c>
      <c r="X29">
        <f>VLOOKUP(R29,$AD$1:$AG$7,4,0)+VLOOKUP(S29,$AD$1:$AG$7,4,0)+VLOOKUP(P29,$AF$9:$AG$18,2,0)+IF(ISERROR(VLOOKUP(N29,$J$2:$J$13,1,0)),0,1)+IF($AG$21=1,IF(ISERROR(VLOOKUP(N29,Szarmaztatas!$H$5:$H$14,1,0)),0,1),0)</f>
        <v>0</v>
      </c>
      <c r="Y29" s="53" t="str">
        <f t="shared" si="20"/>
        <v/>
      </c>
      <c r="Z29" s="227"/>
      <c r="AA29">
        <f>IF(V29=0,0,VLOOKUP(V29,Szarmaztatas!$B$4:$F$28,Q29+1,FALSE))</f>
        <v>0</v>
      </c>
      <c r="AD29" s="55" t="s">
        <v>1169</v>
      </c>
      <c r="AE29">
        <f>IF(ISERROR(VLOOKUP("Túlfejlett - 4",C27:C32,1,0)),IF(ISERROR(VLOOKUP("Túlfejlett - 4",H27:H32,1,0)),IF(ISERROR(VLOOKUP("Túlfejlett - 4",C36:C40,1,0)),0,-1),-1),-1)</f>
        <v>0</v>
      </c>
      <c r="AF29" s="55"/>
      <c r="AG29" s="55"/>
      <c r="AH29" s="57"/>
      <c r="AI29" s="55"/>
      <c r="AJ29" s="73" t="s">
        <v>782</v>
      </c>
      <c r="AK29">
        <f>VLOOKUP(AJ29,Karakterlap!$N$2:$Q$72,4,0)</f>
        <v>2</v>
      </c>
      <c r="AL29" s="55"/>
      <c r="AM29" s="55"/>
      <c r="AN29" s="55"/>
      <c r="AO29" s="55"/>
      <c r="AP29" s="55"/>
      <c r="AQ29" s="55"/>
      <c r="AR29" s="55"/>
      <c r="AS29" s="55"/>
    </row>
    <row r="30" spans="1:45" x14ac:dyDescent="0.25">
      <c r="A30" s="92"/>
      <c r="B30" s="33" t="str">
        <f>IF(A30="","",VLOOKUP(A30,EH!B:C,2,0))</f>
        <v/>
      </c>
      <c r="C30" s="93"/>
      <c r="D30" s="23" t="str">
        <f>IF(C30="","",VLOOKUP(C30,EH!K:L,2,0))</f>
        <v/>
      </c>
      <c r="F30" s="92"/>
      <c r="G30" s="33" t="str">
        <f>IF(F30="","",VLOOKUP(F30,EH!F:G,2,0))</f>
        <v/>
      </c>
      <c r="H30" s="93"/>
      <c r="I30" s="23" t="str">
        <f>IF(H30="","",VLOOKUP(H30,EH!O:P,2,0))</f>
        <v/>
      </c>
      <c r="J30" s="84"/>
      <c r="M30" s="86"/>
      <c r="N30" s="80" t="s">
        <v>793</v>
      </c>
      <c r="O30" s="224"/>
      <c r="P30" t="s">
        <v>1087</v>
      </c>
      <c r="Q30">
        <f t="shared" si="22"/>
        <v>2</v>
      </c>
      <c r="R30" t="s">
        <v>1519</v>
      </c>
      <c r="S30" t="s">
        <v>1519</v>
      </c>
      <c r="T30">
        <f t="shared" si="17"/>
        <v>-5</v>
      </c>
      <c r="U30">
        <f t="shared" si="18"/>
        <v>-5</v>
      </c>
      <c r="V30" s="78"/>
      <c r="W30" s="137">
        <f t="shared" si="19"/>
        <v>-10</v>
      </c>
      <c r="X30">
        <f>VLOOKUP(R30,$AD$1:$AG$7,4,0)+VLOOKUP(S30,$AD$1:$AG$7,4,0)+VLOOKUP(P30,$AF$9:$AG$18,2,0)+IF(ISERROR(VLOOKUP(N30,$J$2:$J$13,1,0)),0,1)+IF($AG$21=1,IF(ISERROR(VLOOKUP(N30,Szarmaztatas!$H$5:$H$14,1,0)),0,1),0)</f>
        <v>0</v>
      </c>
      <c r="Y30" s="53" t="str">
        <f t="shared" si="20"/>
        <v/>
      </c>
      <c r="Z30" s="227"/>
      <c r="AA30">
        <f>IF(V30=0,0,VLOOKUP(V30,Szarmaztatas!$B$4:$F$28,Q30+1,FALSE))</f>
        <v>0</v>
      </c>
      <c r="AD30" s="55" t="s">
        <v>1605</v>
      </c>
      <c r="AE30" s="55">
        <f>IF(ISERROR(VLOOKUP("Szerencsés",A27:B32,1,0)),IF(ISERROR(VLOOKUP("Szerencsés",F27:G32,1,0)),IF(ISERROR(VLOOKUP("Szerencsés",A36:B40,1,0)),0,1),1),1)</f>
        <v>0</v>
      </c>
      <c r="AF30" s="55"/>
      <c r="AG30" s="55"/>
      <c r="AH30" s="57"/>
      <c r="AI30" s="55"/>
      <c r="AJ30" s="73" t="s">
        <v>793</v>
      </c>
      <c r="AK30">
        <f>VLOOKUP(AJ30,Karakterlap!$N$2:$Q$72,4,0)</f>
        <v>2</v>
      </c>
      <c r="AL30" s="55"/>
      <c r="AM30" s="55"/>
      <c r="AN30" s="55"/>
      <c r="AO30" s="55"/>
      <c r="AP30" s="55"/>
      <c r="AQ30" s="55"/>
      <c r="AR30" s="55"/>
      <c r="AS30" s="55"/>
    </row>
    <row r="31" spans="1:45" x14ac:dyDescent="0.25">
      <c r="A31" s="92"/>
      <c r="B31" s="33" t="str">
        <f>IF(A31="","",VLOOKUP(A31,EH!B:C,2,0))</f>
        <v/>
      </c>
      <c r="C31" s="93"/>
      <c r="D31" s="23" t="str">
        <f>IF(C31="","",VLOOKUP(C31,EH!K:L,2,0))</f>
        <v/>
      </c>
      <c r="F31" s="95"/>
      <c r="G31" s="71" t="str">
        <f>IF(F31="","",VLOOKUP(F31,EH!F:G,2,0))</f>
        <v/>
      </c>
      <c r="H31" s="96"/>
      <c r="I31" s="94" t="str">
        <f>IF(H31="","",VLOOKUP(H31,EH!O:P,2,0))</f>
        <v/>
      </c>
      <c r="J31" s="84"/>
      <c r="M31" s="86"/>
      <c r="N31" s="80" t="s">
        <v>793</v>
      </c>
      <c r="O31" s="224"/>
      <c r="P31" t="s">
        <v>1087</v>
      </c>
      <c r="Q31">
        <f t="shared" si="22"/>
        <v>2</v>
      </c>
      <c r="R31" t="s">
        <v>1518</v>
      </c>
      <c r="S31" t="s">
        <v>1519</v>
      </c>
      <c r="T31">
        <f t="shared" si="17"/>
        <v>-5</v>
      </c>
      <c r="U31">
        <f t="shared" si="18"/>
        <v>-5</v>
      </c>
      <c r="V31" s="78"/>
      <c r="W31" s="137">
        <f t="shared" si="19"/>
        <v>-10</v>
      </c>
      <c r="X31">
        <f>VLOOKUP(R31,$AD$1:$AG$7,4,0)+VLOOKUP(S31,$AD$1:$AG$7,4,0)+VLOOKUP(P31,$AF$9:$AG$18,2,0)+IF(ISERROR(VLOOKUP(N31,$J$2:$J$13,1,0)),0,1)+IF($AG$21=1,IF(ISERROR(VLOOKUP(N31,Szarmaztatas!$H$5:$H$14,1,0)),0,1),0)</f>
        <v>0</v>
      </c>
      <c r="Y31" s="53" t="str">
        <f t="shared" si="20"/>
        <v/>
      </c>
      <c r="Z31" s="227"/>
      <c r="AA31">
        <f>IF(V31=0,0,VLOOKUP(V31,Szarmaztatas!$B$4:$F$28,Q31+1,FALSE))</f>
        <v>0</v>
      </c>
      <c r="AD31" s="55" t="s">
        <v>1768</v>
      </c>
      <c r="AE31" s="55">
        <f>IF(ISERROR(VLOOKUP("Színvak",H27:H31,1)),0,2+IF(AE20&lt;0,0,AE20/3))</f>
        <v>0</v>
      </c>
      <c r="AF31" s="55"/>
      <c r="AG31" s="55"/>
      <c r="AH31" s="57"/>
      <c r="AI31" s="55"/>
      <c r="AJ31" s="73" t="s">
        <v>794</v>
      </c>
      <c r="AK31">
        <f>VLOOKUP(AJ31,Karakterlap!$N$2:$Q$72,4,0)</f>
        <v>3</v>
      </c>
      <c r="AL31" s="55"/>
      <c r="AM31" s="55"/>
      <c r="AN31" s="55"/>
      <c r="AO31" s="55"/>
      <c r="AP31" s="55"/>
      <c r="AQ31" s="55"/>
      <c r="AR31" s="55"/>
      <c r="AS31" s="55"/>
    </row>
    <row r="32" spans="1:45" x14ac:dyDescent="0.25">
      <c r="A32" s="81"/>
      <c r="B32" s="71" t="str">
        <f>IF(A32="","",VLOOKUP(A32,EH!B:C,2,0))</f>
        <v/>
      </c>
      <c r="C32" s="71"/>
      <c r="D32" s="94" t="str">
        <f>IF(C32="","",VLOOKUP(C32,EH!K:L,2,0))</f>
        <v/>
      </c>
      <c r="F32" s="33"/>
      <c r="G32" s="33"/>
      <c r="H32" s="33"/>
      <c r="I32" s="33"/>
      <c r="M32" s="87"/>
      <c r="N32" s="81" t="s">
        <v>793</v>
      </c>
      <c r="O32" s="225"/>
      <c r="P32" s="209" t="s">
        <v>1087</v>
      </c>
      <c r="Q32" s="209">
        <f t="shared" si="22"/>
        <v>2</v>
      </c>
      <c r="R32" s="209" t="s">
        <v>1518</v>
      </c>
      <c r="S32" s="209" t="s">
        <v>1518</v>
      </c>
      <c r="T32" s="209">
        <f t="shared" si="17"/>
        <v>-5</v>
      </c>
      <c r="U32" s="209">
        <f t="shared" si="18"/>
        <v>-5</v>
      </c>
      <c r="V32" s="79"/>
      <c r="W32" s="166">
        <f t="shared" si="19"/>
        <v>-10</v>
      </c>
      <c r="X32" s="209">
        <f>VLOOKUP(R32,$AD$1:$AG$7,4,0)+VLOOKUP(S32,$AD$1:$AG$7,4,0)+VLOOKUP(P32,$AF$9:$AG$18,2,0)+IF(ISERROR(VLOOKUP(N32,$J$2:$J$13,1,0)),0,1)+IF($AG$21=1,IF(ISERROR(VLOOKUP(N32,Szarmaztatas!$H$5:$H$14,1,0)),0,1),0)</f>
        <v>0</v>
      </c>
      <c r="Y32" s="72" t="str">
        <f t="shared" si="20"/>
        <v/>
      </c>
      <c r="Z32" s="225"/>
      <c r="AA32" s="209">
        <f>IF(V32=0,0,VLOOKUP(V32,Szarmaztatas!$B$4:$F$28,Q32+1,FALSE))</f>
        <v>0</v>
      </c>
      <c r="AD32" s="55"/>
      <c r="AE32" s="55"/>
      <c r="AF32" s="55"/>
      <c r="AG32" s="55"/>
      <c r="AH32" s="55"/>
      <c r="AI32" s="55"/>
      <c r="AJ32" s="73" t="s">
        <v>795</v>
      </c>
      <c r="AK32">
        <f>VLOOKUP(AJ32,Karakterlap!$N$2:$Q$72,4,0)</f>
        <v>3</v>
      </c>
      <c r="AL32" s="55"/>
      <c r="AM32" s="55"/>
      <c r="AN32" s="55"/>
      <c r="AO32" s="56"/>
      <c r="AP32" s="55"/>
      <c r="AQ32" s="56"/>
      <c r="AR32" s="55"/>
      <c r="AS32" s="55"/>
    </row>
    <row r="33" spans="1:45" x14ac:dyDescent="0.25">
      <c r="A33" s="81"/>
      <c r="C33" s="71"/>
      <c r="F33" s="126" t="s">
        <v>1151</v>
      </c>
      <c r="G33" s="127" t="s">
        <v>1152</v>
      </c>
      <c r="H33" s="127" t="s">
        <v>1693</v>
      </c>
      <c r="I33" s="128" t="s">
        <v>1532</v>
      </c>
      <c r="M33" s="86"/>
      <c r="N33" s="80" t="s">
        <v>794</v>
      </c>
      <c r="O33" s="224"/>
      <c r="P33" t="s">
        <v>1090</v>
      </c>
      <c r="Q33">
        <f>VLOOKUP(P33,$AG$35:$AH$44,2,0)</f>
        <v>3</v>
      </c>
      <c r="R33" t="s">
        <v>1521</v>
      </c>
      <c r="S33" t="s">
        <v>1519</v>
      </c>
      <c r="T33">
        <f t="shared" si="17"/>
        <v>-5</v>
      </c>
      <c r="U33">
        <f t="shared" si="18"/>
        <v>-5</v>
      </c>
      <c r="V33" s="78"/>
      <c r="W33" s="137">
        <f t="shared" si="19"/>
        <v>-10</v>
      </c>
      <c r="X33">
        <f>VLOOKUP(R33,$AD$1:$AG$7,4,0)+VLOOKUP(S33,$AD$1:$AG$7,4,0)+VLOOKUP(P33,$AF$9:$AG$18,2,0)+IF(ISERROR(VLOOKUP(N33,$J$2:$J$13,1,0)),0,1)+IF($AG$21=1,IF(ISERROR(VLOOKUP(N33,Szarmaztatas!$H$5:$H$14,1,0)),0,1),0)</f>
        <v>0</v>
      </c>
      <c r="Y33" s="53" t="str">
        <f t="shared" si="20"/>
        <v/>
      </c>
      <c r="Z33" s="227"/>
      <c r="AA33">
        <f>IF(V33=0,0,VLOOKUP(V33,Szarmaztatas!$B$4:$F$28,Q33+1,FALSE))</f>
        <v>0</v>
      </c>
      <c r="AD33" s="55"/>
      <c r="AE33" s="55"/>
      <c r="AF33" s="55"/>
      <c r="AG33" s="55"/>
      <c r="AH33" s="55"/>
      <c r="AI33" s="55"/>
      <c r="AJ33" s="73" t="s">
        <v>796</v>
      </c>
      <c r="AK33">
        <f>VLOOKUP(AJ33,Karakterlap!$N$2:$Q$72,4,0)</f>
        <v>3</v>
      </c>
      <c r="AL33" s="55"/>
      <c r="AM33" s="55"/>
      <c r="AN33" s="55"/>
      <c r="AO33" s="56"/>
      <c r="AP33" s="55"/>
      <c r="AQ33" s="56"/>
      <c r="AR33" s="55"/>
      <c r="AS33" s="55"/>
    </row>
    <row r="34" spans="1:45" ht="15.75" thickBot="1" x14ac:dyDescent="0.3">
      <c r="A34" s="143" t="s">
        <v>875</v>
      </c>
      <c r="B34" s="127">
        <f>SUM(B36:B42)</f>
        <v>0</v>
      </c>
      <c r="C34" s="127" t="str">
        <f>IF(B34=D34,"jó","nem jó")</f>
        <v>jó</v>
      </c>
      <c r="D34" s="128">
        <f>SUM(D36:D42)</f>
        <v>0</v>
      </c>
      <c r="F34" s="195"/>
      <c r="G34" s="196"/>
      <c r="H34" s="196"/>
      <c r="I34" s="195"/>
      <c r="M34" s="86"/>
      <c r="N34" s="80" t="s">
        <v>795</v>
      </c>
      <c r="O34" s="224"/>
      <c r="P34" t="s">
        <v>1090</v>
      </c>
      <c r="Q34">
        <f t="shared" ref="Q34:Q47" si="23">VLOOKUP(P34,$AG$35:$AH$44,2,0)</f>
        <v>3</v>
      </c>
      <c r="R34" t="s">
        <v>1520</v>
      </c>
      <c r="S34" t="s">
        <v>1519</v>
      </c>
      <c r="T34">
        <f t="shared" si="17"/>
        <v>-5</v>
      </c>
      <c r="U34">
        <f t="shared" si="18"/>
        <v>-5</v>
      </c>
      <c r="V34" s="78"/>
      <c r="W34" s="137">
        <f t="shared" si="19"/>
        <v>-10</v>
      </c>
      <c r="X34">
        <f>VLOOKUP(R34,$AD$1:$AG$7,4,0)+VLOOKUP(S34,$AD$1:$AG$7,4,0)+VLOOKUP(P34,$AF$9:$AG$18,2,0)+IF(ISERROR(VLOOKUP(N34,$J$2:$J$13,1,0)),0,1)+IF($AG$21=1,IF(ISERROR(VLOOKUP(N34,Szarmaztatas!$H$5:$H$14,1,0)),0,1),0)</f>
        <v>0</v>
      </c>
      <c r="Y34" s="53" t="str">
        <f t="shared" si="20"/>
        <v/>
      </c>
      <c r="Z34" s="227"/>
      <c r="AA34">
        <f>IF(V34=0,0,VLOOKUP(V34,Szarmaztatas!$B$4:$F$28,Q34+1,FALSE))</f>
        <v>0</v>
      </c>
      <c r="AD34" s="55"/>
      <c r="AE34" s="55"/>
      <c r="AF34" s="55"/>
      <c r="AG34" s="55"/>
      <c r="AH34" s="55"/>
      <c r="AI34" s="55"/>
      <c r="AJ34" s="73" t="s">
        <v>797</v>
      </c>
      <c r="AK34">
        <f>VLOOKUP(AJ34,Karakterlap!$N$2:$Q$72,4,0)</f>
        <v>3</v>
      </c>
      <c r="AL34" s="55"/>
      <c r="AM34" s="55"/>
      <c r="AN34" s="55"/>
      <c r="AO34" s="56"/>
      <c r="AP34" s="55"/>
      <c r="AQ34" s="56"/>
      <c r="AR34" s="55"/>
      <c r="AS34" s="55"/>
    </row>
    <row r="35" spans="1:45" x14ac:dyDescent="0.25">
      <c r="A35" s="80" t="s">
        <v>413</v>
      </c>
      <c r="B35" s="33" t="s">
        <v>1532</v>
      </c>
      <c r="C35" s="33" t="s">
        <v>412</v>
      </c>
      <c r="D35" s="23" t="s">
        <v>1532</v>
      </c>
      <c r="F35" s="195"/>
      <c r="G35" s="196"/>
      <c r="H35" s="196"/>
      <c r="I35" s="195"/>
      <c r="M35" s="86"/>
      <c r="N35" s="80" t="s">
        <v>796</v>
      </c>
      <c r="O35" s="224"/>
      <c r="P35" t="s">
        <v>1090</v>
      </c>
      <c r="Q35">
        <f t="shared" si="23"/>
        <v>3</v>
      </c>
      <c r="R35" t="s">
        <v>1523</v>
      </c>
      <c r="S35" t="s">
        <v>1520</v>
      </c>
      <c r="T35">
        <f t="shared" si="17"/>
        <v>-5</v>
      </c>
      <c r="U35">
        <f t="shared" si="18"/>
        <v>-5</v>
      </c>
      <c r="V35" s="78"/>
      <c r="W35" s="137">
        <f t="shared" si="19"/>
        <v>-10</v>
      </c>
      <c r="X35">
        <f>VLOOKUP(R35,$AD$1:$AG$7,4,0)+VLOOKUP(S35,$AD$1:$AG$7,4,0)+VLOOKUP(P35,$AF$9:$AG$18,2,0)+IF(ISERROR(VLOOKUP(N35,$J$2:$J$13,1,0)),0,1)+IF($AG$21=1,IF(ISERROR(VLOOKUP(N35,Szarmaztatas!$H$5:$H$14,1,0)),0,1),0)</f>
        <v>0</v>
      </c>
      <c r="Y35" s="53" t="str">
        <f t="shared" si="20"/>
        <v/>
      </c>
      <c r="Z35" s="227"/>
      <c r="AA35">
        <f>IF(V35=0,0,VLOOKUP(V35,Szarmaztatas!$B$4:$F$28,Q35+1,FALSE))</f>
        <v>0</v>
      </c>
      <c r="AD35" s="55"/>
      <c r="AE35" s="55"/>
      <c r="AF35" s="55"/>
      <c r="AG35" s="45" t="s">
        <v>803</v>
      </c>
      <c r="AH35" s="24" t="s">
        <v>804</v>
      </c>
      <c r="AI35" s="55"/>
      <c r="AJ35" s="73" t="s">
        <v>895</v>
      </c>
      <c r="AK35">
        <f>VLOOKUP(AJ35,Karakterlap!$N$2:$Q$72,4,0)</f>
        <v>3</v>
      </c>
      <c r="AL35" s="55"/>
      <c r="AM35" s="56"/>
      <c r="AN35" s="55"/>
      <c r="AO35" s="56"/>
      <c r="AP35" s="55"/>
      <c r="AQ35" s="56"/>
      <c r="AR35" s="55"/>
      <c r="AS35" s="55"/>
    </row>
    <row r="36" spans="1:45" x14ac:dyDescent="0.25">
      <c r="A36" s="92"/>
      <c r="B36" s="33" t="str">
        <f>IF(A36="","",VLOOKUP(A36,EH!D:E,2,0))</f>
        <v/>
      </c>
      <c r="C36" s="93"/>
      <c r="D36" s="23" t="str">
        <f>IF(C36="","",VLOOKUP(C36,EH!M:N,2,0))</f>
        <v/>
      </c>
      <c r="F36" s="195"/>
      <c r="G36" s="196"/>
      <c r="H36" s="196"/>
      <c r="I36" s="195"/>
      <c r="M36" s="86"/>
      <c r="N36" s="80" t="s">
        <v>797</v>
      </c>
      <c r="O36" s="224"/>
      <c r="P36" t="s">
        <v>1090</v>
      </c>
      <c r="Q36">
        <f t="shared" si="23"/>
        <v>3</v>
      </c>
      <c r="R36" t="s">
        <v>1521</v>
      </c>
      <c r="S36" t="s">
        <v>1520</v>
      </c>
      <c r="T36">
        <f t="shared" si="17"/>
        <v>-5</v>
      </c>
      <c r="U36">
        <f t="shared" si="18"/>
        <v>-5</v>
      </c>
      <c r="V36" s="78"/>
      <c r="W36" s="137">
        <f t="shared" si="19"/>
        <v>-10</v>
      </c>
      <c r="X36">
        <f>VLOOKUP(R36,$AD$1:$AG$7,4,0)+VLOOKUP(S36,$AD$1:$AG$7,4,0)+VLOOKUP(P36,$AF$9:$AG$18,2,0)+IF(ISERROR(VLOOKUP(N36,$J$2:$J$13,1,0)),0,1)+IF($AG$21=1,IF(ISERROR(VLOOKUP(N36,Szarmaztatas!$H$5:$H$14,1,0)),0,1),0)</f>
        <v>0</v>
      </c>
      <c r="Y36" s="53" t="str">
        <f t="shared" si="20"/>
        <v/>
      </c>
      <c r="Z36" s="227"/>
      <c r="AA36">
        <f>IF(V36=0,0,VLOOKUP(V36,Szarmaztatas!$B$4:$F$28,Q36+1,FALSE))</f>
        <v>0</v>
      </c>
      <c r="AD36" s="55"/>
      <c r="AE36" s="55"/>
      <c r="AF36" s="55"/>
      <c r="AG36" s="46" t="s">
        <v>806</v>
      </c>
      <c r="AH36" s="47">
        <v>1</v>
      </c>
      <c r="AI36" s="55"/>
      <c r="AJ36" s="73" t="s">
        <v>798</v>
      </c>
      <c r="AK36">
        <f>VLOOKUP(AJ36,Karakterlap!$N$2:$Q$72,4,0)</f>
        <v>3</v>
      </c>
      <c r="AL36" s="55"/>
      <c r="AM36" s="56"/>
      <c r="AN36" s="55"/>
      <c r="AO36" s="55"/>
      <c r="AP36" s="55"/>
      <c r="AQ36" s="55"/>
      <c r="AR36" s="55"/>
      <c r="AS36" s="55"/>
    </row>
    <row r="37" spans="1:45" x14ac:dyDescent="0.25">
      <c r="A37" s="92"/>
      <c r="B37" s="33" t="str">
        <f>IF(A37="","",VLOOKUP(A37,EH!D:E,2,0))</f>
        <v/>
      </c>
      <c r="C37" s="93"/>
      <c r="D37" s="23" t="str">
        <f>IF(C37="","",VLOOKUP(C37,EH!M:N,2,0))</f>
        <v/>
      </c>
      <c r="F37" s="195"/>
      <c r="G37" s="196"/>
      <c r="H37" s="196"/>
      <c r="I37" s="195"/>
      <c r="M37" s="86"/>
      <c r="N37" s="80" t="s">
        <v>895</v>
      </c>
      <c r="O37" s="224"/>
      <c r="P37" t="s">
        <v>1090</v>
      </c>
      <c r="Q37">
        <f t="shared" si="23"/>
        <v>3</v>
      </c>
      <c r="R37" t="s">
        <v>1521</v>
      </c>
      <c r="S37" t="s">
        <v>1520</v>
      </c>
      <c r="T37">
        <f t="shared" si="17"/>
        <v>-5</v>
      </c>
      <c r="U37">
        <f t="shared" si="18"/>
        <v>-5</v>
      </c>
      <c r="V37" s="78"/>
      <c r="W37" s="137">
        <f t="shared" si="19"/>
        <v>-10</v>
      </c>
      <c r="X37">
        <f>VLOOKUP(R37,$AD$1:$AG$7,4,0)+VLOOKUP(S37,$AD$1:$AG$7,4,0)+VLOOKUP(P37,$AF$9:$AG$18,2,0)+IF(ISERROR(VLOOKUP(N37,$J$2:$J$13,1,0)),0,1)+IF($AG$21=1,IF(ISERROR(VLOOKUP(N37,Szarmaztatas!$H$5:$H$14,1,0)),0,1),0)</f>
        <v>0</v>
      </c>
      <c r="Y37" s="53" t="str">
        <f t="shared" si="20"/>
        <v/>
      </c>
      <c r="Z37" s="227"/>
      <c r="AA37">
        <f>IF(V37=0,0,VLOOKUP(V37,Szarmaztatas!$B$4:$F$28,Q37+1,FALSE))</f>
        <v>0</v>
      </c>
      <c r="AD37" s="55"/>
      <c r="AE37" s="55"/>
      <c r="AF37" s="55"/>
      <c r="AG37" s="46" t="s">
        <v>1085</v>
      </c>
      <c r="AH37" s="48">
        <f>IF(AH12=-1,3,IF(OR(AH10=1,AH12=1),1,2))</f>
        <v>2</v>
      </c>
      <c r="AI37" s="55"/>
      <c r="AJ37" s="73" t="s">
        <v>799</v>
      </c>
      <c r="AK37">
        <f>VLOOKUP(AJ37,Karakterlap!$N$2:$Q$72,4,0)</f>
        <v>3</v>
      </c>
      <c r="AL37" s="55"/>
      <c r="AM37" s="56"/>
      <c r="AN37" s="55"/>
      <c r="AO37" s="58"/>
      <c r="AP37" s="55"/>
      <c r="AQ37" s="58"/>
      <c r="AR37" s="55"/>
      <c r="AS37" s="55"/>
    </row>
    <row r="38" spans="1:45" x14ac:dyDescent="0.25">
      <c r="A38" s="92"/>
      <c r="B38" s="33" t="str">
        <f>IF(A38="","",VLOOKUP(A38,EH!D:E,2,0))</f>
        <v/>
      </c>
      <c r="C38" s="93"/>
      <c r="D38" s="23" t="str">
        <f>IF(C38="","",VLOOKUP(C38,EH!M:N,2,0))</f>
        <v/>
      </c>
      <c r="F38" s="195"/>
      <c r="G38" s="196"/>
      <c r="H38" s="196"/>
      <c r="I38" s="195"/>
      <c r="M38" s="86"/>
      <c r="N38" s="80" t="s">
        <v>798</v>
      </c>
      <c r="O38" s="224"/>
      <c r="P38" t="s">
        <v>1090</v>
      </c>
      <c r="Q38">
        <f t="shared" si="23"/>
        <v>3</v>
      </c>
      <c r="R38" t="s">
        <v>1521</v>
      </c>
      <c r="S38" t="s">
        <v>1519</v>
      </c>
      <c r="T38">
        <f t="shared" si="17"/>
        <v>-5</v>
      </c>
      <c r="U38">
        <f t="shared" si="18"/>
        <v>-5</v>
      </c>
      <c r="V38" s="78"/>
      <c r="W38" s="137">
        <f t="shared" si="19"/>
        <v>-10</v>
      </c>
      <c r="X38">
        <f>VLOOKUP(R38,$AD$1:$AG$7,4,0)+VLOOKUP(S38,$AD$1:$AG$7,4,0)+VLOOKUP(P38,$AF$9:$AG$18,2,0)+IF(ISERROR(VLOOKUP(N38,$J$2:$J$13,1,0)),0,1)+IF($AG$21=1,IF(ISERROR(VLOOKUP(N38,Szarmaztatas!$H$5:$H$14,1,0)),0,1),0)</f>
        <v>0</v>
      </c>
      <c r="Y38" s="53" t="str">
        <f t="shared" si="20"/>
        <v/>
      </c>
      <c r="Z38" s="227"/>
      <c r="AA38">
        <f>IF(V38=0,0,VLOOKUP(V38,Szarmaztatas!$B$4:$F$28,Q38+1,FALSE))</f>
        <v>0</v>
      </c>
      <c r="AD38" s="55"/>
      <c r="AE38" s="55"/>
      <c r="AF38" s="55"/>
      <c r="AG38" s="46" t="s">
        <v>808</v>
      </c>
      <c r="AH38" s="48">
        <f>IF(AH12=-1,3,IF(OR(AH11=1,AH12=1),1,2))</f>
        <v>2</v>
      </c>
      <c r="AI38" s="55"/>
      <c r="AJ38" s="73" t="s">
        <v>800</v>
      </c>
      <c r="AK38">
        <f>VLOOKUP(AJ38,Karakterlap!$N$2:$Q$72,4,0)</f>
        <v>3</v>
      </c>
      <c r="AL38" s="55"/>
      <c r="AM38" s="56"/>
      <c r="AN38" s="55"/>
      <c r="AO38" s="58"/>
      <c r="AP38" s="55"/>
      <c r="AQ38" s="58"/>
      <c r="AR38" s="55"/>
      <c r="AS38" s="55"/>
    </row>
    <row r="39" spans="1:45" x14ac:dyDescent="0.25">
      <c r="A39" s="92"/>
      <c r="B39" s="33" t="str">
        <f>IF(A39="","",VLOOKUP(A39,EH!D:E,2,0))</f>
        <v/>
      </c>
      <c r="C39" s="93"/>
      <c r="D39" s="23" t="str">
        <f>IF(C39="","",VLOOKUP(C39,EH!M:N,2,0))</f>
        <v/>
      </c>
      <c r="F39" s="195"/>
      <c r="G39" s="196"/>
      <c r="H39" s="196"/>
      <c r="I39" s="195"/>
      <c r="M39" s="86"/>
      <c r="N39" s="80" t="s">
        <v>799</v>
      </c>
      <c r="O39" s="224"/>
      <c r="P39" t="s">
        <v>1090</v>
      </c>
      <c r="Q39">
        <f t="shared" si="23"/>
        <v>3</v>
      </c>
      <c r="R39" t="s">
        <v>1521</v>
      </c>
      <c r="S39" t="s">
        <v>1520</v>
      </c>
      <c r="T39">
        <f t="shared" si="17"/>
        <v>-5</v>
      </c>
      <c r="U39">
        <f t="shared" si="18"/>
        <v>-5</v>
      </c>
      <c r="V39" s="78"/>
      <c r="W39" s="137">
        <f t="shared" si="19"/>
        <v>-10</v>
      </c>
      <c r="X39">
        <f>VLOOKUP(R39,$AD$1:$AG$7,4,0)+VLOOKUP(S39,$AD$1:$AG$7,4,0)+VLOOKUP(P39,$AF$9:$AG$18,2,0)+IF(ISERROR(VLOOKUP(N39,$J$2:$J$13,1,0)),0,1)+IF($AG$21=1,IF(ISERROR(VLOOKUP(N39,Szarmaztatas!$H$5:$H$14,1,0)),0,1),0)</f>
        <v>0</v>
      </c>
      <c r="Y39" s="53" t="str">
        <f t="shared" si="20"/>
        <v/>
      </c>
      <c r="Z39" s="227"/>
      <c r="AA39">
        <f>IF(V39=0,0,VLOOKUP(V39,Szarmaztatas!$B$4:$F$28,Q39+1,FALSE))</f>
        <v>0</v>
      </c>
      <c r="AD39" s="55"/>
      <c r="AE39" s="55"/>
      <c r="AF39" s="55"/>
      <c r="AG39" s="46" t="s">
        <v>1087</v>
      </c>
      <c r="AH39" s="48">
        <f>2-AH13</f>
        <v>2</v>
      </c>
      <c r="AI39" s="55"/>
      <c r="AJ39" s="73" t="s">
        <v>801</v>
      </c>
      <c r="AK39">
        <f>VLOOKUP(AJ39,Karakterlap!$N$2:$Q$72,4,0)</f>
        <v>3</v>
      </c>
      <c r="AL39" s="55"/>
      <c r="AM39" s="55"/>
      <c r="AN39" s="55"/>
      <c r="AO39" s="58"/>
      <c r="AP39" s="55"/>
      <c r="AQ39" s="58"/>
      <c r="AR39" s="55"/>
      <c r="AS39" s="55"/>
    </row>
    <row r="40" spans="1:45" x14ac:dyDescent="0.25">
      <c r="A40" s="95"/>
      <c r="B40" s="71" t="str">
        <f>IF(A40="","",VLOOKUP(A40,EH!D:E,2,0))</f>
        <v/>
      </c>
      <c r="C40" s="96"/>
      <c r="D40" s="94" t="str">
        <f>IF(C40="","",VLOOKUP(C40,EH!M:N,2,0))</f>
        <v/>
      </c>
      <c r="F40" s="195"/>
      <c r="G40" s="195"/>
      <c r="H40" s="195"/>
      <c r="I40" s="195"/>
      <c r="M40" s="86"/>
      <c r="N40" s="80" t="s">
        <v>800</v>
      </c>
      <c r="O40" s="224"/>
      <c r="P40" t="s">
        <v>1090</v>
      </c>
      <c r="Q40">
        <f t="shared" si="23"/>
        <v>3</v>
      </c>
      <c r="R40" t="s">
        <v>1519</v>
      </c>
      <c r="S40" t="s">
        <v>1520</v>
      </c>
      <c r="T40">
        <f t="shared" si="17"/>
        <v>-5</v>
      </c>
      <c r="U40">
        <f t="shared" si="18"/>
        <v>-5</v>
      </c>
      <c r="V40" s="78"/>
      <c r="W40" s="137">
        <f t="shared" si="19"/>
        <v>-10</v>
      </c>
      <c r="X40">
        <f>VLOOKUP(R40,$AD$1:$AG$7,4,0)+VLOOKUP(S40,$AD$1:$AG$7,4,0)+VLOOKUP(P40,$AF$9:$AG$18,2,0)+IF(ISERROR(VLOOKUP(N40,$J$2:$J$13,1,0)),0,1)+IF($AG$21=1,IF(ISERROR(VLOOKUP(N40,Szarmaztatas!$H$5:$H$14,1,0)),0,1),0)</f>
        <v>0</v>
      </c>
      <c r="Y40" s="53" t="str">
        <f t="shared" si="20"/>
        <v/>
      </c>
      <c r="Z40" s="227"/>
      <c r="AA40">
        <f>IF(V40=0,0,VLOOKUP(V40,Szarmaztatas!$B$4:$F$28,Q40+1,FALSE))</f>
        <v>0</v>
      </c>
      <c r="AD40" s="55"/>
      <c r="AE40" s="57"/>
      <c r="AF40" s="57"/>
      <c r="AG40" s="46" t="s">
        <v>1090</v>
      </c>
      <c r="AH40" s="47">
        <f>3-AH14</f>
        <v>3</v>
      </c>
      <c r="AI40" s="55"/>
      <c r="AJ40" s="73" t="s">
        <v>802</v>
      </c>
      <c r="AK40">
        <f>VLOOKUP(AJ40,Karakterlap!$N$2:$Q$72,4,0)</f>
        <v>3</v>
      </c>
      <c r="AL40" s="55"/>
      <c r="AM40" s="58"/>
      <c r="AN40" s="55"/>
      <c r="AO40" s="58"/>
      <c r="AP40" s="55"/>
      <c r="AQ40" s="58"/>
      <c r="AR40" s="55"/>
      <c r="AS40" s="55"/>
    </row>
    <row r="41" spans="1:45" x14ac:dyDescent="0.25">
      <c r="M41" s="86"/>
      <c r="N41" s="80" t="s">
        <v>801</v>
      </c>
      <c r="O41" s="224"/>
      <c r="P41" t="s">
        <v>1090</v>
      </c>
      <c r="Q41">
        <f t="shared" si="23"/>
        <v>3</v>
      </c>
      <c r="R41" t="s">
        <v>1523</v>
      </c>
      <c r="S41" t="s">
        <v>1518</v>
      </c>
      <c r="T41">
        <f t="shared" si="17"/>
        <v>-5</v>
      </c>
      <c r="U41">
        <f t="shared" si="18"/>
        <v>-5</v>
      </c>
      <c r="V41" s="78"/>
      <c r="W41" s="137">
        <f t="shared" si="19"/>
        <v>-10</v>
      </c>
      <c r="X41">
        <f>VLOOKUP(R41,$AD$1:$AG$7,4,0)+VLOOKUP(S41,$AD$1:$AG$7,4,0)+VLOOKUP(P41,$AF$9:$AG$18,2,0)+IF(ISERROR(VLOOKUP(N41,$J$2:$J$13,1,0)),0,1)+IF($AG$21=1,IF(ISERROR(VLOOKUP(N41,Szarmaztatas!$H$5:$H$14,1,0)),0,1),0)</f>
        <v>0</v>
      </c>
      <c r="Y41" s="53" t="str">
        <f t="shared" si="20"/>
        <v/>
      </c>
      <c r="Z41" s="227"/>
      <c r="AA41">
        <f>IF(V41=0,0,VLOOKUP(V41,Szarmaztatas!$B$4:$F$28,Q41+1,FALSE))</f>
        <v>0</v>
      </c>
      <c r="AD41" s="57"/>
      <c r="AE41" s="55"/>
      <c r="AF41" s="55"/>
      <c r="AG41" s="46" t="s">
        <v>1093</v>
      </c>
      <c r="AH41" s="48">
        <f>3-AH16</f>
        <v>3</v>
      </c>
      <c r="AI41" s="55"/>
      <c r="AJ41" s="73" t="s">
        <v>805</v>
      </c>
      <c r="AK41">
        <f>VLOOKUP(AJ41,Karakterlap!$N$2:$Q$72,4,0)</f>
        <v>3</v>
      </c>
      <c r="AL41" s="55"/>
      <c r="AM41" s="58"/>
      <c r="AN41" s="55"/>
      <c r="AO41" s="55"/>
      <c r="AP41" s="55"/>
      <c r="AQ41" s="55"/>
      <c r="AR41" s="55"/>
      <c r="AS41" s="55"/>
    </row>
    <row r="42" spans="1:45" x14ac:dyDescent="0.25">
      <c r="M42" s="86"/>
      <c r="N42" s="80" t="s">
        <v>802</v>
      </c>
      <c r="O42" s="224"/>
      <c r="P42" t="s">
        <v>1090</v>
      </c>
      <c r="Q42">
        <f t="shared" si="23"/>
        <v>3</v>
      </c>
      <c r="R42" t="s">
        <v>1521</v>
      </c>
      <c r="S42" t="s">
        <v>1518</v>
      </c>
      <c r="T42">
        <f t="shared" si="17"/>
        <v>-5</v>
      </c>
      <c r="U42">
        <f t="shared" si="18"/>
        <v>-5</v>
      </c>
      <c r="V42" s="78"/>
      <c r="W42" s="137">
        <f t="shared" si="19"/>
        <v>-10</v>
      </c>
      <c r="X42">
        <f>VLOOKUP(R42,$AD$1:$AG$7,4,0)+VLOOKUP(S42,$AD$1:$AG$7,4,0)+VLOOKUP(P42,$AF$9:$AG$18,2,0)+IF(ISERROR(VLOOKUP(N42,$J$2:$J$13,1,0)),0,1)+IF($AG$21=1,IF(ISERROR(VLOOKUP(N42,Szarmaztatas!$H$5:$H$14,1,0)),0,1),0)</f>
        <v>0</v>
      </c>
      <c r="Y42" s="53" t="str">
        <f t="shared" si="20"/>
        <v/>
      </c>
      <c r="Z42" s="227"/>
      <c r="AA42">
        <f>IF(V42=0,0,VLOOKUP(V42,Szarmaztatas!$B$4:$F$28,Q42+1,FALSE))</f>
        <v>0</v>
      </c>
      <c r="AD42" s="55"/>
      <c r="AE42" s="55"/>
      <c r="AF42" s="55"/>
      <c r="AG42" s="46" t="s">
        <v>1096</v>
      </c>
      <c r="AH42" s="48">
        <f>3-AH15</f>
        <v>3</v>
      </c>
      <c r="AI42" s="55"/>
      <c r="AJ42" s="73" t="s">
        <v>807</v>
      </c>
      <c r="AK42">
        <f>VLOOKUP(AJ42,Karakterlap!$N$2:$Q$72,4,0)</f>
        <v>3</v>
      </c>
      <c r="AL42" s="55"/>
      <c r="AM42" s="58"/>
      <c r="AN42" s="55"/>
      <c r="AO42" s="55"/>
      <c r="AP42" s="55"/>
      <c r="AQ42" s="55"/>
      <c r="AR42" s="55"/>
      <c r="AS42" s="55"/>
    </row>
    <row r="43" spans="1:45" x14ac:dyDescent="0.25">
      <c r="M43" s="86"/>
      <c r="N43" s="80" t="s">
        <v>805</v>
      </c>
      <c r="O43" s="224"/>
      <c r="P43" t="s">
        <v>1090</v>
      </c>
      <c r="Q43">
        <f t="shared" si="23"/>
        <v>3</v>
      </c>
      <c r="R43" t="s">
        <v>1521</v>
      </c>
      <c r="S43" t="s">
        <v>1522</v>
      </c>
      <c r="T43">
        <f t="shared" si="17"/>
        <v>-5</v>
      </c>
      <c r="U43">
        <f t="shared" si="18"/>
        <v>-5</v>
      </c>
      <c r="V43" s="78"/>
      <c r="W43" s="137">
        <f t="shared" si="19"/>
        <v>-10</v>
      </c>
      <c r="X43">
        <f>VLOOKUP(R43,$AD$1:$AG$7,4,0)+VLOOKUP(S43,$AD$1:$AG$7,4,0)+VLOOKUP(P43,$AF$9:$AG$18,2,0)+IF(ISERROR(VLOOKUP(N43,$J$2:$J$13,1,0)),0,1)+IF($AG$21=1,IF(ISERROR(VLOOKUP(N43,Szarmaztatas!$H$5:$H$14,1,0)),0,1),0)</f>
        <v>0</v>
      </c>
      <c r="Y43" s="53" t="str">
        <f t="shared" si="20"/>
        <v/>
      </c>
      <c r="Z43" s="227"/>
      <c r="AA43">
        <f>IF(V43=0,0,VLOOKUP(V43,Szarmaztatas!$B$4:$F$28,Q43+1,FALSE))</f>
        <v>0</v>
      </c>
      <c r="AD43" s="55"/>
      <c r="AE43" s="55"/>
      <c r="AF43" s="55"/>
      <c r="AG43" s="46" t="s">
        <v>1098</v>
      </c>
      <c r="AH43" s="48">
        <v>4</v>
      </c>
      <c r="AI43" s="55"/>
      <c r="AJ43" s="73" t="s">
        <v>1084</v>
      </c>
      <c r="AK43">
        <f>VLOOKUP(AJ43,Karakterlap!$N$2:$Q$72,4,0)</f>
        <v>3</v>
      </c>
      <c r="AL43" s="55"/>
      <c r="AM43" s="58"/>
      <c r="AN43" s="55"/>
      <c r="AO43" s="55"/>
      <c r="AP43" s="55"/>
      <c r="AQ43" s="55"/>
      <c r="AR43" s="55"/>
      <c r="AS43" s="55"/>
    </row>
    <row r="44" spans="1:45" ht="15.75" thickBot="1" x14ac:dyDescent="0.3">
      <c r="A44" s="188" t="s">
        <v>1530</v>
      </c>
      <c r="B44" s="144">
        <f>SUM(E46:E59)</f>
        <v>50</v>
      </c>
      <c r="M44" s="86"/>
      <c r="N44" s="80" t="s">
        <v>807</v>
      </c>
      <c r="O44" s="224"/>
      <c r="P44" t="s">
        <v>1090</v>
      </c>
      <c r="Q44">
        <f t="shared" si="23"/>
        <v>3</v>
      </c>
      <c r="R44" t="s">
        <v>1519</v>
      </c>
      <c r="S44" t="s">
        <v>1520</v>
      </c>
      <c r="T44">
        <f t="shared" si="17"/>
        <v>-5</v>
      </c>
      <c r="U44">
        <f t="shared" si="18"/>
        <v>-5</v>
      </c>
      <c r="V44" s="78"/>
      <c r="W44" s="137">
        <f t="shared" si="19"/>
        <v>-10</v>
      </c>
      <c r="X44">
        <f>VLOOKUP(R44,$AD$1:$AG$7,4,0)+VLOOKUP(S44,$AD$1:$AG$7,4,0)+VLOOKUP(P44,$AF$9:$AG$18,2,0)+IF(ISERROR(VLOOKUP(N44,$J$2:$J$13,1,0)),0,1)+IF($AG$21=1,IF(ISERROR(VLOOKUP(N44,Szarmaztatas!$H$5:$H$14,1,0)),0,1),0)</f>
        <v>0</v>
      </c>
      <c r="Y44" s="53" t="str">
        <f t="shared" si="20"/>
        <v/>
      </c>
      <c r="Z44" s="227"/>
      <c r="AA44">
        <f>IF(V44=0,0,VLOOKUP(V44,Szarmaztatas!$B$4:$F$28,Q44+1,FALSE))</f>
        <v>0</v>
      </c>
      <c r="AD44" s="55"/>
      <c r="AE44" s="55"/>
      <c r="AF44" s="55"/>
      <c r="AG44" s="49" t="s">
        <v>251</v>
      </c>
      <c r="AH44" s="50">
        <v>4</v>
      </c>
      <c r="AI44" s="55"/>
      <c r="AJ44" s="73" t="s">
        <v>1086</v>
      </c>
      <c r="AK44">
        <f>VLOOKUP(AJ44,Karakterlap!$N$2:$Q$72,4,0)</f>
        <v>3</v>
      </c>
      <c r="AL44" s="55"/>
      <c r="AM44" s="55"/>
      <c r="AN44" s="55"/>
      <c r="AO44" s="55"/>
      <c r="AP44" s="55"/>
      <c r="AQ44" s="55"/>
      <c r="AR44" s="55"/>
      <c r="AS44" s="56"/>
    </row>
    <row r="45" spans="1:45" x14ac:dyDescent="0.25">
      <c r="A45" s="192" t="s">
        <v>456</v>
      </c>
      <c r="B45" s="193" t="s">
        <v>457</v>
      </c>
      <c r="C45" s="193" t="s">
        <v>1919</v>
      </c>
      <c r="D45" s="193" t="s">
        <v>426</v>
      </c>
      <c r="E45" s="194" t="s">
        <v>967</v>
      </c>
      <c r="F45" s="51"/>
      <c r="M45" s="86"/>
      <c r="N45" s="80" t="s">
        <v>1084</v>
      </c>
      <c r="O45" s="224"/>
      <c r="P45" t="s">
        <v>1090</v>
      </c>
      <c r="Q45">
        <f t="shared" si="23"/>
        <v>3</v>
      </c>
      <c r="R45" t="s">
        <v>1521</v>
      </c>
      <c r="S45" t="s">
        <v>1523</v>
      </c>
      <c r="T45">
        <f t="shared" si="17"/>
        <v>-5</v>
      </c>
      <c r="U45">
        <f t="shared" si="18"/>
        <v>-5</v>
      </c>
      <c r="V45" s="78"/>
      <c r="W45" s="137">
        <f t="shared" si="19"/>
        <v>-10</v>
      </c>
      <c r="X45">
        <f>VLOOKUP(R45,$AD$1:$AG$7,4,0)+VLOOKUP(S45,$AD$1:$AG$7,4,0)+VLOOKUP(P45,$AF$9:$AG$18,2,0)+IF(ISERROR(VLOOKUP(N45,$J$2:$J$13,1,0)),0,1)+IF($AG$21=1,IF(ISERROR(VLOOKUP(N45,Szarmaztatas!$H$5:$H$14,1,0)),0,1),0)</f>
        <v>0</v>
      </c>
      <c r="Y45" s="53" t="str">
        <f t="shared" si="20"/>
        <v/>
      </c>
      <c r="Z45" s="227"/>
      <c r="AA45">
        <f>IF(V45=0,0,VLOOKUP(V45,Szarmaztatas!$B$4:$F$28,Q45+1,FALSE))</f>
        <v>0</v>
      </c>
      <c r="AD45" s="55"/>
      <c r="AE45" s="57"/>
      <c r="AF45" s="57"/>
      <c r="AG45" s="55"/>
      <c r="AH45" s="55"/>
      <c r="AI45" s="55"/>
      <c r="AJ45" s="73" t="s">
        <v>1089</v>
      </c>
      <c r="AK45">
        <f>VLOOKUP(AJ45,Karakterlap!$N$2:$Q$72,4,0)</f>
        <v>3</v>
      </c>
      <c r="AL45" s="55"/>
      <c r="AM45" s="55"/>
      <c r="AN45" s="55"/>
      <c r="AO45" s="55"/>
      <c r="AP45" s="55"/>
      <c r="AQ45" s="55"/>
      <c r="AR45" s="55"/>
      <c r="AS45" s="56"/>
    </row>
    <row r="46" spans="1:45" x14ac:dyDescent="0.25">
      <c r="A46" s="156"/>
      <c r="B46" s="156"/>
      <c r="C46" s="156" t="s">
        <v>1969</v>
      </c>
      <c r="D46" s="156"/>
      <c r="E46" s="156">
        <v>50</v>
      </c>
      <c r="F46" s="191"/>
      <c r="M46" s="86"/>
      <c r="N46" s="80" t="s">
        <v>1086</v>
      </c>
      <c r="O46" s="224"/>
      <c r="P46" t="s">
        <v>1090</v>
      </c>
      <c r="Q46">
        <f t="shared" si="23"/>
        <v>3</v>
      </c>
      <c r="R46" t="s">
        <v>1519</v>
      </c>
      <c r="S46" t="s">
        <v>1520</v>
      </c>
      <c r="T46">
        <f t="shared" si="17"/>
        <v>-5</v>
      </c>
      <c r="U46">
        <f t="shared" si="18"/>
        <v>-5</v>
      </c>
      <c r="V46" s="78"/>
      <c r="W46" s="137">
        <f t="shared" si="19"/>
        <v>-10</v>
      </c>
      <c r="X46">
        <f>VLOOKUP(R46,$AD$1:$AG$7,4,0)+VLOOKUP(S46,$AD$1:$AG$7,4,0)+VLOOKUP(P46,$AF$9:$AG$18,2,0)+IF(ISERROR(VLOOKUP(N46,$J$2:$J$13,1,0)),0,1)+IF($AG$21=1,IF(ISERROR(VLOOKUP(N46,Szarmaztatas!$H$5:$H$14,1,0)),0,1),0)</f>
        <v>0</v>
      </c>
      <c r="Y46" s="53" t="str">
        <f t="shared" si="20"/>
        <v/>
      </c>
      <c r="Z46" s="227"/>
      <c r="AA46">
        <f>IF(V46=0,0,VLOOKUP(V46,Szarmaztatas!$B$4:$F$28,Q46+1,FALSE))</f>
        <v>0</v>
      </c>
      <c r="AD46" s="57"/>
      <c r="AE46" s="55"/>
      <c r="AF46" s="55"/>
      <c r="AG46" s="55"/>
      <c r="AH46" s="55"/>
      <c r="AI46" s="55"/>
      <c r="AJ46" s="73" t="s">
        <v>1441</v>
      </c>
      <c r="AK46">
        <f>VLOOKUP(AJ46,Karakterlap!$N$2:$Q$72,4,0)</f>
        <v>3</v>
      </c>
      <c r="AL46" s="55"/>
      <c r="AM46" s="55"/>
      <c r="AN46" s="55"/>
      <c r="AO46" s="55"/>
      <c r="AP46" s="55"/>
      <c r="AQ46" s="55"/>
      <c r="AR46" s="55"/>
      <c r="AS46" s="56"/>
    </row>
    <row r="47" spans="1:45" x14ac:dyDescent="0.25">
      <c r="A47" s="156"/>
      <c r="B47" s="156"/>
      <c r="C47" s="156"/>
      <c r="D47" s="156"/>
      <c r="E47" s="156">
        <f t="shared" ref="E47:E59" si="24">B47*D47</f>
        <v>0</v>
      </c>
      <c r="F47" s="191"/>
      <c r="M47" s="87"/>
      <c r="N47" s="81" t="s">
        <v>1089</v>
      </c>
      <c r="O47" s="225"/>
      <c r="P47" s="209" t="s">
        <v>1090</v>
      </c>
      <c r="Q47" s="209">
        <f t="shared" si="23"/>
        <v>3</v>
      </c>
      <c r="R47" s="209" t="s">
        <v>1523</v>
      </c>
      <c r="S47" s="209" t="s">
        <v>1518</v>
      </c>
      <c r="T47" s="209">
        <f t="shared" si="17"/>
        <v>-5</v>
      </c>
      <c r="U47" s="209">
        <f t="shared" si="18"/>
        <v>-5</v>
      </c>
      <c r="V47" s="79"/>
      <c r="W47" s="166">
        <f t="shared" si="19"/>
        <v>-10</v>
      </c>
      <c r="X47" s="209">
        <f>VLOOKUP(R47,$AD$1:$AG$7,4,0)+VLOOKUP(S47,$AD$1:$AG$7,4,0)+VLOOKUP(P47,$AF$9:$AG$18,2,0)+IF(ISERROR(VLOOKUP(N47,$J$2:$J$13,1,0)),0,1)+IF($AG$21=1,IF(ISERROR(VLOOKUP(N47,Szarmaztatas!$H$5:$H$14,1,0)),0,1),0)</f>
        <v>0</v>
      </c>
      <c r="Y47" s="72" t="str">
        <f t="shared" si="20"/>
        <v/>
      </c>
      <c r="Z47" s="225"/>
      <c r="AA47" s="209">
        <f>IF(V47=0,0,VLOOKUP(V47,Szarmaztatas!$B$4:$F$28,Q47+1,FALSE))</f>
        <v>0</v>
      </c>
      <c r="AD47" s="55"/>
      <c r="AE47" s="55"/>
      <c r="AF47" s="55"/>
      <c r="AG47" s="55"/>
      <c r="AH47" s="55"/>
      <c r="AI47" s="55"/>
      <c r="AJ47" s="73" t="s">
        <v>528</v>
      </c>
      <c r="AK47">
        <f>VLOOKUP(AJ47,Karakterlap!$N$2:$Q$72,4,0)</f>
        <v>3</v>
      </c>
      <c r="AL47" s="55"/>
      <c r="AM47" s="55"/>
      <c r="AN47" s="55"/>
      <c r="AO47" s="55"/>
      <c r="AP47" s="55"/>
      <c r="AQ47" s="55"/>
      <c r="AR47" s="55"/>
      <c r="AS47" s="56"/>
    </row>
    <row r="48" spans="1:45" x14ac:dyDescent="0.25">
      <c r="A48" s="156"/>
      <c r="B48" s="156"/>
      <c r="C48" s="156"/>
      <c r="D48" s="156"/>
      <c r="E48" s="156">
        <f t="shared" si="24"/>
        <v>0</v>
      </c>
      <c r="F48" s="191"/>
      <c r="M48" s="86"/>
      <c r="N48" s="80" t="s">
        <v>1441</v>
      </c>
      <c r="O48" s="224"/>
      <c r="P48" t="s">
        <v>1096</v>
      </c>
      <c r="Q48">
        <f>VLOOKUP(P48,$AG$35:$AH$44,2,0)</f>
        <v>3</v>
      </c>
      <c r="R48" t="s">
        <v>1521</v>
      </c>
      <c r="S48" t="s">
        <v>1519</v>
      </c>
      <c r="T48">
        <f t="shared" si="17"/>
        <v>-5</v>
      </c>
      <c r="U48">
        <f t="shared" si="18"/>
        <v>-5</v>
      </c>
      <c r="V48" s="78"/>
      <c r="W48" s="137">
        <f t="shared" si="19"/>
        <v>-10</v>
      </c>
      <c r="X48">
        <f>VLOOKUP(R48,$AD$1:$AG$7,4,0)+VLOOKUP(S48,$AD$1:$AG$7,4,0)+VLOOKUP(P48,$AF$9:$AG$18,2,0)+IF(ISERROR(VLOOKUP(N48,$J$2:$J$13,1,0)),0,1)+IF($AG$21=1,IF(ISERROR(VLOOKUP(N48,Szarmaztatas!$H$5:$H$14,1,0)),0,1),0)</f>
        <v>0</v>
      </c>
      <c r="Y48" s="53" t="str">
        <f t="shared" si="20"/>
        <v/>
      </c>
      <c r="Z48" s="227"/>
      <c r="AA48">
        <f>IF(V48=0,0,VLOOKUP(V48,Szarmaztatas!$B$4:$F$28,Q48+1,FALSE))</f>
        <v>0</v>
      </c>
      <c r="AD48" s="55"/>
      <c r="AE48" s="55"/>
      <c r="AF48" s="55"/>
      <c r="AG48" s="55"/>
      <c r="AH48" s="55"/>
      <c r="AI48" s="55"/>
      <c r="AJ48" s="73" t="s">
        <v>1092</v>
      </c>
      <c r="AK48">
        <f>VLOOKUP(AJ48,Karakterlap!$N$2:$Q$72,4,0)</f>
        <v>3</v>
      </c>
      <c r="AL48" s="55"/>
      <c r="AM48" s="55"/>
      <c r="AN48" s="55"/>
      <c r="AO48" s="56"/>
      <c r="AP48" s="55"/>
      <c r="AQ48" s="56"/>
      <c r="AR48" s="55"/>
      <c r="AS48" s="55"/>
    </row>
    <row r="49" spans="1:45" x14ac:dyDescent="0.25">
      <c r="A49" s="156"/>
      <c r="B49" s="156"/>
      <c r="C49" s="156"/>
      <c r="D49" s="156"/>
      <c r="E49" s="156">
        <f t="shared" si="24"/>
        <v>0</v>
      </c>
      <c r="F49" s="191"/>
      <c r="M49" s="86"/>
      <c r="N49" s="80" t="s">
        <v>1441</v>
      </c>
      <c r="O49" s="224"/>
      <c r="P49" t="s">
        <v>1096</v>
      </c>
      <c r="Q49">
        <f>VLOOKUP(P49,$AG$35:$AH$44,2,0)</f>
        <v>3</v>
      </c>
      <c r="R49" t="s">
        <v>1521</v>
      </c>
      <c r="S49" t="s">
        <v>1519</v>
      </c>
      <c r="T49">
        <f t="shared" si="17"/>
        <v>-5</v>
      </c>
      <c r="U49">
        <f t="shared" si="18"/>
        <v>-5</v>
      </c>
      <c r="V49" s="78"/>
      <c r="W49" s="137">
        <f t="shared" si="19"/>
        <v>-10</v>
      </c>
      <c r="X49">
        <f>VLOOKUP(R49,$AD$1:$AG$7,4,0)+VLOOKUP(S49,$AD$1:$AG$7,4,0)+VLOOKUP(P49,$AF$9:$AG$18,2,0)+IF(ISERROR(VLOOKUP(N49,$J$2:$J$13,1,0)),0,1)+IF($AG$21=1,IF(ISERROR(VLOOKUP(N49,Szarmaztatas!$H$5:$H$14,1,0)),0,1),0)</f>
        <v>0</v>
      </c>
      <c r="Y49" s="53" t="str">
        <f t="shared" si="20"/>
        <v/>
      </c>
      <c r="Z49" s="227"/>
      <c r="AA49">
        <f>IF(V49=0,0,VLOOKUP(V49,Szarmaztatas!$B$4:$F$28,Q49+1,FALSE))</f>
        <v>0</v>
      </c>
      <c r="AD49" s="55"/>
      <c r="AE49" s="55"/>
      <c r="AF49" s="55"/>
      <c r="AG49" s="55"/>
      <c r="AH49" s="55"/>
      <c r="AI49" s="55"/>
      <c r="AJ49" s="73" t="s">
        <v>1095</v>
      </c>
      <c r="AK49">
        <f>VLOOKUP(AJ49,Karakterlap!$N$2:$Q$72,4,0)</f>
        <v>3</v>
      </c>
      <c r="AL49" s="55"/>
      <c r="AM49" s="55"/>
      <c r="AN49" s="55"/>
      <c r="AO49" s="56"/>
      <c r="AP49" s="55"/>
      <c r="AQ49" s="56"/>
      <c r="AR49" s="55"/>
      <c r="AS49" s="58"/>
    </row>
    <row r="50" spans="1:45" x14ac:dyDescent="0.25">
      <c r="A50" s="156"/>
      <c r="B50" s="156"/>
      <c r="C50" s="156"/>
      <c r="D50" s="156"/>
      <c r="E50" s="156">
        <f t="shared" si="24"/>
        <v>0</v>
      </c>
      <c r="F50" s="191"/>
      <c r="M50" s="87"/>
      <c r="N50" s="81" t="s">
        <v>1441</v>
      </c>
      <c r="O50" s="225"/>
      <c r="P50" s="209" t="s">
        <v>1096</v>
      </c>
      <c r="Q50" s="209">
        <f>VLOOKUP(P50,$AG$35:$AH$44,2,0)</f>
        <v>3</v>
      </c>
      <c r="R50" s="209" t="s">
        <v>1521</v>
      </c>
      <c r="S50" s="209" t="s">
        <v>1519</v>
      </c>
      <c r="T50" s="209">
        <f t="shared" si="17"/>
        <v>-5</v>
      </c>
      <c r="U50" s="209">
        <f t="shared" si="18"/>
        <v>-5</v>
      </c>
      <c r="V50" s="79"/>
      <c r="W50" s="166">
        <f t="shared" si="19"/>
        <v>-10</v>
      </c>
      <c r="X50" s="209">
        <f>VLOOKUP(R50,$AD$1:$AG$7,4,0)+VLOOKUP(S50,$AD$1:$AG$7,4,0)+VLOOKUP(P50,$AF$9:$AG$18,2,0)+IF(ISERROR(VLOOKUP(N50,$J$2:$J$13,1,0)),0,1)+IF($AG$21=1,IF(ISERROR(VLOOKUP(N50,Szarmaztatas!$H$5:$H$14,1,0)),0,1),0)</f>
        <v>0</v>
      </c>
      <c r="Y50" s="72" t="str">
        <f t="shared" si="20"/>
        <v/>
      </c>
      <c r="Z50" s="225"/>
      <c r="AA50" s="209">
        <f>IF(V50=0,0,VLOOKUP(V50,Szarmaztatas!$B$4:$F$28,Q50+1,FALSE))</f>
        <v>0</v>
      </c>
      <c r="AD50" s="55"/>
      <c r="AE50" s="55"/>
      <c r="AF50" s="55"/>
      <c r="AG50" s="55"/>
      <c r="AH50" s="55"/>
      <c r="AI50" s="55"/>
      <c r="AJ50" s="73" t="s">
        <v>1265</v>
      </c>
      <c r="AK50">
        <f>VLOOKUP(AJ50,Karakterlap!$N$2:$Q$72,4,0)</f>
        <v>3</v>
      </c>
      <c r="AL50" s="55"/>
      <c r="AM50" s="55"/>
      <c r="AN50" s="55"/>
      <c r="AO50" s="56"/>
      <c r="AP50" s="55"/>
      <c r="AQ50" s="56"/>
      <c r="AR50" s="55"/>
      <c r="AS50" s="58"/>
    </row>
    <row r="51" spans="1:45" x14ac:dyDescent="0.25">
      <c r="A51" s="156"/>
      <c r="B51" s="156"/>
      <c r="C51" s="156"/>
      <c r="D51" s="156"/>
      <c r="E51" s="156">
        <f t="shared" si="24"/>
        <v>0</v>
      </c>
      <c r="F51" s="191"/>
      <c r="M51" s="86"/>
      <c r="N51" s="80" t="s">
        <v>528</v>
      </c>
      <c r="O51" s="224"/>
      <c r="P51" t="s">
        <v>1093</v>
      </c>
      <c r="Q51">
        <f>VLOOKUP(P51,$AG$35:$AH$44,2,0)</f>
        <v>3</v>
      </c>
      <c r="R51" t="s">
        <v>1521</v>
      </c>
      <c r="S51" t="s">
        <v>1521</v>
      </c>
      <c r="T51">
        <f t="shared" si="17"/>
        <v>-5</v>
      </c>
      <c r="U51">
        <f t="shared" si="18"/>
        <v>-5</v>
      </c>
      <c r="V51" s="78"/>
      <c r="W51" s="137">
        <f t="shared" si="19"/>
        <v>-10</v>
      </c>
      <c r="X51">
        <f>IF(AND(S51="Akaraterő",$AG$6=1),1,0)+VLOOKUP(P51,$AF$9:$AG$18,2,0)+IF(ISERROR(VLOOKUP(N51,$J$2:$J$13,1,0)),0,1)+IF($AG$21=1,IF(ISERROR(VLOOKUP(N51,Szarmaztatas!$H$5:$H$14,1,0)),0,1),0)</f>
        <v>0</v>
      </c>
      <c r="Y51" s="53" t="str">
        <f t="shared" si="20"/>
        <v/>
      </c>
      <c r="Z51" s="227"/>
      <c r="AA51">
        <f>IF(V51=0,0,VLOOKUP(V51,Szarmaztatas!$B$4:$F$28,Q51+1,FALSE))</f>
        <v>0</v>
      </c>
      <c r="AD51" s="55"/>
      <c r="AE51" s="57"/>
      <c r="AF51" s="57"/>
      <c r="AG51" s="55"/>
      <c r="AH51" s="55"/>
      <c r="AI51" s="55"/>
      <c r="AJ51" s="73" t="s">
        <v>1266</v>
      </c>
      <c r="AK51">
        <f>VLOOKUP(AJ51,Karakterlap!$N$2:$Q$72,4,0)</f>
        <v>3</v>
      </c>
      <c r="AL51" s="55"/>
      <c r="AM51" s="56"/>
      <c r="AN51" s="55"/>
      <c r="AO51" s="56"/>
      <c r="AP51" s="55"/>
      <c r="AQ51" s="56"/>
      <c r="AR51" s="55"/>
      <c r="AS51" s="58"/>
    </row>
    <row r="52" spans="1:45" x14ac:dyDescent="0.25">
      <c r="A52" s="156"/>
      <c r="B52" s="156"/>
      <c r="C52" s="156"/>
      <c r="D52" s="156"/>
      <c r="E52" s="156">
        <f t="shared" si="24"/>
        <v>0</v>
      </c>
      <c r="F52" s="191"/>
      <c r="M52" s="86"/>
      <c r="N52" s="80" t="s">
        <v>1092</v>
      </c>
      <c r="O52" s="224"/>
      <c r="P52" t="s">
        <v>1093</v>
      </c>
      <c r="Q52">
        <f t="shared" ref="Q52:Q62" si="25">VLOOKUP(P52,$AG$35:$AH$44,2,0)</f>
        <v>3</v>
      </c>
      <c r="R52" t="s">
        <v>1521</v>
      </c>
      <c r="S52" t="s">
        <v>1521</v>
      </c>
      <c r="T52">
        <f t="shared" si="17"/>
        <v>-5</v>
      </c>
      <c r="U52">
        <f t="shared" si="18"/>
        <v>-5</v>
      </c>
      <c r="V52" s="78"/>
      <c r="W52" s="137">
        <f t="shared" si="19"/>
        <v>-10</v>
      </c>
      <c r="X52">
        <f>IF(AND(S52="Akaraterő",$AG$6=1),1,0)+VLOOKUP(P52,$AF$9:$AG$18,2,0)+IF(ISERROR(VLOOKUP(N52,$J$2:$J$13,1,0)),0,1)+IF($AG$21=1,IF(ISERROR(VLOOKUP(N52,Szarmaztatas!$H$5:$H$14,1,0)),0,1),0)</f>
        <v>0</v>
      </c>
      <c r="Y52" s="53" t="str">
        <f t="shared" si="20"/>
        <v/>
      </c>
      <c r="Z52" s="227"/>
      <c r="AA52">
        <f>IF(V52=0,0,VLOOKUP(V52,Szarmaztatas!$B$4:$F$28,Q52+1,FALSE))</f>
        <v>0</v>
      </c>
      <c r="AD52" s="55"/>
      <c r="AE52" s="55"/>
      <c r="AF52" s="55"/>
      <c r="AG52" s="55"/>
      <c r="AH52" s="55"/>
      <c r="AI52" s="55"/>
      <c r="AJ52" s="73" t="s">
        <v>1267</v>
      </c>
      <c r="AK52">
        <f>VLOOKUP(AJ52,Karakterlap!$N$2:$Q$72,4,0)</f>
        <v>3</v>
      </c>
      <c r="AL52" s="55"/>
      <c r="AM52" s="55"/>
      <c r="AN52" s="55"/>
      <c r="AO52" s="56"/>
      <c r="AP52" s="55"/>
      <c r="AQ52" s="56"/>
      <c r="AR52" s="55"/>
      <c r="AS52" s="55"/>
    </row>
    <row r="53" spans="1:45" x14ac:dyDescent="0.25">
      <c r="A53" s="156"/>
      <c r="B53" s="156"/>
      <c r="C53" s="156"/>
      <c r="D53" s="156"/>
      <c r="E53" s="156">
        <f t="shared" si="24"/>
        <v>0</v>
      </c>
      <c r="F53" s="191"/>
      <c r="M53" s="86"/>
      <c r="N53" s="80" t="s">
        <v>1095</v>
      </c>
      <c r="O53" s="224"/>
      <c r="P53" t="s">
        <v>1093</v>
      </c>
      <c r="Q53">
        <f t="shared" si="25"/>
        <v>3</v>
      </c>
      <c r="R53" t="s">
        <v>1521</v>
      </c>
      <c r="S53" t="s">
        <v>1523</v>
      </c>
      <c r="T53">
        <f t="shared" si="17"/>
        <v>-5</v>
      </c>
      <c r="U53">
        <f t="shared" si="18"/>
        <v>-5</v>
      </c>
      <c r="V53" s="78"/>
      <c r="W53" s="137">
        <f t="shared" si="19"/>
        <v>-10</v>
      </c>
      <c r="X53">
        <f>IF(AND(S53="Akaraterő",$AG$6=1),1,0)+VLOOKUP(P53,$AF$9:$AG$18,2,0)+IF(ISERROR(VLOOKUP(N53,$J$2:$J$13,1,0)),0,1)+IF($AG$21=1,IF(ISERROR(VLOOKUP(N53,Szarmaztatas!$H$5:$H$14,1,0)),0,1),0)</f>
        <v>0</v>
      </c>
      <c r="Y53" s="53" t="str">
        <f t="shared" si="20"/>
        <v/>
      </c>
      <c r="Z53" s="227"/>
      <c r="AA53">
        <f>IF(V53=0,0,VLOOKUP(V53,Szarmaztatas!$B$4:$F$28,Q53+1,FALSE))</f>
        <v>0</v>
      </c>
      <c r="AD53" s="55"/>
      <c r="AE53" s="55"/>
      <c r="AF53" s="57"/>
      <c r="AG53" s="55"/>
      <c r="AH53" s="55"/>
      <c r="AI53" s="55"/>
      <c r="AJ53" s="73" t="s">
        <v>1268</v>
      </c>
      <c r="AK53">
        <f>VLOOKUP(AJ53,Karakterlap!$N$2:$Q$72,4,0)</f>
        <v>3</v>
      </c>
      <c r="AL53" s="55"/>
      <c r="AM53" s="56"/>
      <c r="AN53" s="55"/>
      <c r="AO53" s="55"/>
      <c r="AP53" s="55"/>
      <c r="AQ53" s="55"/>
      <c r="AR53" s="55"/>
      <c r="AS53" s="55"/>
    </row>
    <row r="54" spans="1:45" x14ac:dyDescent="0.25">
      <c r="A54" s="156"/>
      <c r="B54" s="156"/>
      <c r="C54" s="156"/>
      <c r="D54" s="156"/>
      <c r="E54" s="156">
        <f t="shared" si="24"/>
        <v>0</v>
      </c>
      <c r="F54" s="191"/>
      <c r="M54" s="86"/>
      <c r="N54" s="80" t="s">
        <v>1265</v>
      </c>
      <c r="O54" s="224"/>
      <c r="P54" t="s">
        <v>1093</v>
      </c>
      <c r="Q54">
        <f t="shared" si="25"/>
        <v>3</v>
      </c>
      <c r="R54" t="s">
        <v>1521</v>
      </c>
      <c r="S54" t="s">
        <v>1521</v>
      </c>
      <c r="T54">
        <f t="shared" si="17"/>
        <v>-5</v>
      </c>
      <c r="U54">
        <f t="shared" si="18"/>
        <v>-5</v>
      </c>
      <c r="V54" s="78"/>
      <c r="W54" s="137">
        <f t="shared" si="19"/>
        <v>-10</v>
      </c>
      <c r="X54">
        <f>IF(AND(S54="Akaraterő",$AG$6=1),1,0)+VLOOKUP(P54,$AF$9:$AG$18,2,0)+IF(ISERROR(VLOOKUP(N54,$J$2:$J$13,1,0)),0,1)+IF($AG$21=1,IF(ISERROR(VLOOKUP(N54,Szarmaztatas!$H$5:$H$14,1,0)),0,1),0)</f>
        <v>0</v>
      </c>
      <c r="Y54" s="53" t="str">
        <f t="shared" si="20"/>
        <v/>
      </c>
      <c r="Z54" s="227"/>
      <c r="AA54">
        <f>IF(V54=0,0,VLOOKUP(V54,Szarmaztatas!$B$4:$F$28,Q54+1,FALSE))</f>
        <v>0</v>
      </c>
      <c r="AD54" s="55"/>
      <c r="AE54" s="55"/>
      <c r="AF54" s="57"/>
      <c r="AG54" s="55"/>
      <c r="AH54" s="57"/>
      <c r="AI54" s="55"/>
      <c r="AJ54" s="73" t="s">
        <v>1100</v>
      </c>
      <c r="AK54">
        <f>VLOOKUP(AJ54,Karakterlap!$N$2:$Q$72,4,0)</f>
        <v>3</v>
      </c>
      <c r="AL54" s="55"/>
      <c r="AM54" s="55"/>
      <c r="AN54" s="55"/>
      <c r="AO54" s="55"/>
      <c r="AP54" s="55"/>
      <c r="AQ54" s="55"/>
      <c r="AR54" s="55"/>
      <c r="AS54" s="56"/>
    </row>
    <row r="55" spans="1:45" x14ac:dyDescent="0.25">
      <c r="A55" s="156"/>
      <c r="B55" s="156"/>
      <c r="C55" s="156"/>
      <c r="D55" s="156"/>
      <c r="E55" s="156">
        <f t="shared" si="24"/>
        <v>0</v>
      </c>
      <c r="F55" s="191"/>
      <c r="M55" s="86"/>
      <c r="N55" s="80" t="s">
        <v>1265</v>
      </c>
      <c r="O55" s="224"/>
      <c r="P55" t="s">
        <v>1093</v>
      </c>
      <c r="Q55">
        <f t="shared" si="25"/>
        <v>3</v>
      </c>
      <c r="R55" t="s">
        <v>1521</v>
      </c>
      <c r="S55" t="s">
        <v>1521</v>
      </c>
      <c r="T55">
        <f t="shared" si="17"/>
        <v>-5</v>
      </c>
      <c r="U55">
        <f t="shared" si="18"/>
        <v>-5</v>
      </c>
      <c r="V55" s="78"/>
      <c r="W55" s="137">
        <f t="shared" si="19"/>
        <v>-10</v>
      </c>
      <c r="X55">
        <f>IF(AND(S55="Akaraterő",$AG$6=1),1,0)+VLOOKUP(P55,$AF$9:$AG$18,2,0)+IF(ISERROR(VLOOKUP(N55,$J$2:$J$13,1,0)),0,1)+IF($AG$21=1,IF(ISERROR(VLOOKUP(N55,Szarmaztatas!$H$5:$H$14,1,0)),0,1),0)</f>
        <v>0</v>
      </c>
      <c r="Y55" s="53" t="str">
        <f t="shared" si="20"/>
        <v/>
      </c>
      <c r="Z55" s="227"/>
      <c r="AA55">
        <f>IF(V55=0,0,VLOOKUP(V55,Szarmaztatas!$B$4:$F$28,Q55+1,FALSE))</f>
        <v>0</v>
      </c>
      <c r="AD55" s="55"/>
      <c r="AE55" s="55"/>
      <c r="AF55" s="57"/>
      <c r="AG55" s="55"/>
      <c r="AH55" s="57"/>
      <c r="AI55" s="55"/>
      <c r="AJ55" s="73" t="s">
        <v>1269</v>
      </c>
      <c r="AK55">
        <f>VLOOKUP(AJ55,Karakterlap!$N$2:$Q$72,4,0)</f>
        <v>3</v>
      </c>
      <c r="AL55" s="55"/>
      <c r="AM55" s="55"/>
      <c r="AN55" s="55"/>
      <c r="AO55" s="55"/>
      <c r="AP55" s="55"/>
      <c r="AQ55" s="55"/>
      <c r="AR55" s="55"/>
      <c r="AS55" s="56"/>
    </row>
    <row r="56" spans="1:45" x14ac:dyDescent="0.25">
      <c r="A56" s="156"/>
      <c r="B56" s="156"/>
      <c r="C56" s="156"/>
      <c r="D56" s="156"/>
      <c r="E56" s="156">
        <f t="shared" si="24"/>
        <v>0</v>
      </c>
      <c r="F56" s="191"/>
      <c r="M56" s="86"/>
      <c r="N56" s="80" t="s">
        <v>1265</v>
      </c>
      <c r="O56" s="224"/>
      <c r="P56" t="s">
        <v>1093</v>
      </c>
      <c r="Q56">
        <f t="shared" si="25"/>
        <v>3</v>
      </c>
      <c r="R56" t="s">
        <v>1521</v>
      </c>
      <c r="S56" t="s">
        <v>1521</v>
      </c>
      <c r="T56">
        <f t="shared" si="17"/>
        <v>-5</v>
      </c>
      <c r="U56">
        <f t="shared" si="18"/>
        <v>-5</v>
      </c>
      <c r="V56" s="78"/>
      <c r="W56" s="137">
        <f t="shared" si="19"/>
        <v>-10</v>
      </c>
      <c r="X56">
        <f>IF(AND(S56="Akaraterő",$AG$6=1),1,0)+VLOOKUP(P56,$AF$9:$AG$18,2,0)+IF(ISERROR(VLOOKUP(N56,$J$2:$J$13,1,0)),0,1)+IF($AG$21=1,IF(ISERROR(VLOOKUP(N56,Szarmaztatas!$H$5:$H$14,1,0)),0,1),0)</f>
        <v>0</v>
      </c>
      <c r="Y56" s="53" t="str">
        <f t="shared" si="20"/>
        <v/>
      </c>
      <c r="Z56" s="227"/>
      <c r="AA56">
        <f>IF(V56=0,0,VLOOKUP(V56,Szarmaztatas!$B$4:$F$28,Q56+1,FALSE))</f>
        <v>0</v>
      </c>
      <c r="AD56" s="55"/>
      <c r="AE56" s="55"/>
      <c r="AF56" s="57"/>
      <c r="AG56" s="55"/>
      <c r="AH56" s="57"/>
      <c r="AI56" s="55"/>
      <c r="AJ56" s="73" t="s">
        <v>1418</v>
      </c>
      <c r="AK56">
        <f>VLOOKUP(AJ56,Karakterlap!$N$2:$Q$72,4,0)</f>
        <v>3</v>
      </c>
      <c r="AL56" s="55"/>
      <c r="AM56" s="55"/>
      <c r="AN56" s="55"/>
      <c r="AO56" s="55"/>
      <c r="AP56" s="55"/>
      <c r="AQ56" s="55"/>
      <c r="AR56" s="55"/>
      <c r="AS56" s="56"/>
    </row>
    <row r="57" spans="1:45" x14ac:dyDescent="0.25">
      <c r="A57" s="156"/>
      <c r="B57" s="156"/>
      <c r="C57" s="156"/>
      <c r="D57" s="156"/>
      <c r="E57" s="156">
        <f t="shared" si="24"/>
        <v>0</v>
      </c>
      <c r="F57" s="191"/>
      <c r="M57" s="86"/>
      <c r="N57" s="80" t="s">
        <v>1266</v>
      </c>
      <c r="O57" s="224"/>
      <c r="P57" t="s">
        <v>1093</v>
      </c>
      <c r="Q57">
        <f t="shared" si="25"/>
        <v>3</v>
      </c>
      <c r="R57" t="s">
        <v>1521</v>
      </c>
      <c r="S57" t="s">
        <v>1521</v>
      </c>
      <c r="T57">
        <f t="shared" si="17"/>
        <v>-5</v>
      </c>
      <c r="U57">
        <f t="shared" si="18"/>
        <v>-5</v>
      </c>
      <c r="V57" s="78"/>
      <c r="W57" s="137">
        <f t="shared" si="19"/>
        <v>-10</v>
      </c>
      <c r="X57">
        <f>IF(AND(S57="Akaraterő",$AG$6=1),1,0)+VLOOKUP(P57,$AF$9:$AG$18,2,0)+IF(ISERROR(VLOOKUP(N57,$J$2:$J$13,1,0)),0,1)+IF($AG$21=1,IF(ISERROR(VLOOKUP(N57,Szarmaztatas!$H$5:$H$14,1,0)),0,1),0)</f>
        <v>0</v>
      </c>
      <c r="Y57" s="53" t="str">
        <f t="shared" si="20"/>
        <v/>
      </c>
      <c r="Z57" s="227"/>
      <c r="AA57">
        <f>IF(V57=0,0,VLOOKUP(V57,Szarmaztatas!$B$4:$F$28,Q57+1,FALSE))</f>
        <v>0</v>
      </c>
      <c r="AD57" s="55"/>
      <c r="AE57" s="55"/>
      <c r="AF57" s="57"/>
      <c r="AG57" s="55"/>
      <c r="AH57" s="55"/>
      <c r="AI57" s="57"/>
      <c r="AJ57" s="73" t="s">
        <v>1222</v>
      </c>
      <c r="AK57">
        <f>VLOOKUP(AJ57,Karakterlap!$N$2:$Q$72,4,0)</f>
        <v>4</v>
      </c>
      <c r="AL57" s="55"/>
      <c r="AM57" s="55"/>
      <c r="AN57" s="55"/>
      <c r="AO57" s="55"/>
      <c r="AP57" s="55"/>
      <c r="AQ57" s="55"/>
      <c r="AR57" s="55"/>
      <c r="AS57" s="56"/>
    </row>
    <row r="58" spans="1:45" x14ac:dyDescent="0.25">
      <c r="A58" s="156"/>
      <c r="B58" s="156"/>
      <c r="C58" s="156"/>
      <c r="D58" s="156"/>
      <c r="E58" s="156">
        <f t="shared" si="24"/>
        <v>0</v>
      </c>
      <c r="F58" s="191"/>
      <c r="M58" s="86"/>
      <c r="N58" s="80" t="s">
        <v>1267</v>
      </c>
      <c r="O58" s="224"/>
      <c r="P58" t="s">
        <v>1093</v>
      </c>
      <c r="Q58">
        <f t="shared" si="25"/>
        <v>3</v>
      </c>
      <c r="R58" t="s">
        <v>1521</v>
      </c>
      <c r="S58" t="s">
        <v>1521</v>
      </c>
      <c r="T58">
        <f t="shared" si="17"/>
        <v>-5</v>
      </c>
      <c r="U58">
        <f t="shared" si="18"/>
        <v>-5</v>
      </c>
      <c r="V58" s="78"/>
      <c r="W58" s="137">
        <f t="shared" si="19"/>
        <v>-10</v>
      </c>
      <c r="X58">
        <f>IF(AND(S58="Akaraterő",$AG$6=1),1,0)+VLOOKUP(P58,$AF$9:$AG$18,2,0)+IF(ISERROR(VLOOKUP(N58,$J$2:$J$13,1,0)),0,1)+IF($AG$21=1,IF(ISERROR(VLOOKUP(N58,Szarmaztatas!$H$5:$H$14,1,0)),0,1),0)</f>
        <v>0</v>
      </c>
      <c r="Y58" s="53" t="str">
        <f t="shared" si="20"/>
        <v/>
      </c>
      <c r="Z58" s="227"/>
      <c r="AA58">
        <f>IF(V58=0,0,VLOOKUP(V58,Szarmaztatas!$B$4:$F$28,Q58+1,FALSE))</f>
        <v>0</v>
      </c>
      <c r="AD58" s="55"/>
      <c r="AE58" s="55"/>
      <c r="AF58" s="55"/>
      <c r="AG58" s="55"/>
      <c r="AH58" s="55"/>
      <c r="AI58" s="55"/>
      <c r="AJ58" s="73" t="s">
        <v>1223</v>
      </c>
      <c r="AK58">
        <f>VLOOKUP(AJ58,Karakterlap!$N$2:$Q$72,4,0)</f>
        <v>4</v>
      </c>
      <c r="AL58" s="55"/>
      <c r="AM58" s="55"/>
      <c r="AN58" s="55"/>
      <c r="AO58" s="55"/>
      <c r="AP58" s="55"/>
      <c r="AQ58" s="55"/>
      <c r="AR58" s="55"/>
      <c r="AS58" s="55"/>
    </row>
    <row r="59" spans="1:45" x14ac:dyDescent="0.25">
      <c r="A59" s="156"/>
      <c r="B59" s="156"/>
      <c r="C59" s="156"/>
      <c r="D59" s="156"/>
      <c r="E59" s="156">
        <f t="shared" si="24"/>
        <v>0</v>
      </c>
      <c r="F59" s="191"/>
      <c r="M59" s="86"/>
      <c r="N59" s="80" t="s">
        <v>1268</v>
      </c>
      <c r="O59" s="224"/>
      <c r="P59" t="s">
        <v>1093</v>
      </c>
      <c r="Q59">
        <f t="shared" si="25"/>
        <v>3</v>
      </c>
      <c r="R59" t="s">
        <v>1521</v>
      </c>
      <c r="S59" t="s">
        <v>1521</v>
      </c>
      <c r="T59">
        <f t="shared" si="17"/>
        <v>-5</v>
      </c>
      <c r="U59">
        <f t="shared" si="18"/>
        <v>-5</v>
      </c>
      <c r="V59" s="78"/>
      <c r="W59" s="137">
        <f t="shared" si="19"/>
        <v>-10</v>
      </c>
      <c r="X59">
        <f>IF(AND(S59="Akaraterő",$AG$6=1),1,0)+VLOOKUP(P59,$AF$9:$AG$18,2,0)+IF(ISERROR(VLOOKUP(N59,$J$2:$J$13,1,0)),0,1)+IF($AG$21=1,IF(ISERROR(VLOOKUP(N59,Szarmaztatas!$H$5:$H$14,1,0)),0,1),0)</f>
        <v>0</v>
      </c>
      <c r="Y59" s="53" t="str">
        <f t="shared" si="20"/>
        <v/>
      </c>
      <c r="Z59" s="227"/>
      <c r="AA59">
        <f>IF(V59=0,0,VLOOKUP(V59,Szarmaztatas!$B$4:$F$28,Q59+1,FALSE))</f>
        <v>0</v>
      </c>
      <c r="AD59" s="55"/>
      <c r="AE59" s="55"/>
      <c r="AF59" s="55"/>
      <c r="AG59" s="55"/>
      <c r="AH59" s="55"/>
      <c r="AI59" s="55"/>
      <c r="AJ59" s="73" t="s">
        <v>891</v>
      </c>
      <c r="AK59">
        <f>VLOOKUP(AJ59,Karakterlap!$N$2:$Q$72,4,0)</f>
        <v>4</v>
      </c>
      <c r="AL59" s="55"/>
      <c r="AM59" s="55"/>
      <c r="AN59" s="55"/>
      <c r="AO59" s="55"/>
      <c r="AP59" s="55"/>
      <c r="AQ59" s="55"/>
      <c r="AR59" s="55"/>
      <c r="AS59" s="56"/>
    </row>
    <row r="60" spans="1:45" x14ac:dyDescent="0.25">
      <c r="M60" s="86"/>
      <c r="N60" s="80" t="s">
        <v>1100</v>
      </c>
      <c r="O60" s="224"/>
      <c r="P60" t="s">
        <v>1093</v>
      </c>
      <c r="Q60">
        <f t="shared" si="25"/>
        <v>3</v>
      </c>
      <c r="R60" t="s">
        <v>1521</v>
      </c>
      <c r="S60" t="s">
        <v>1523</v>
      </c>
      <c r="T60">
        <f t="shared" si="17"/>
        <v>-5</v>
      </c>
      <c r="U60">
        <f t="shared" si="18"/>
        <v>-5</v>
      </c>
      <c r="V60" s="78"/>
      <c r="W60" s="137">
        <f t="shared" si="19"/>
        <v>-10</v>
      </c>
      <c r="X60">
        <f>IF(AND(S60="Akaraterő",$AG$6=1),1,0)+VLOOKUP(P60,$AF$9:$AG$18,2,0)+IF(ISERROR(VLOOKUP(N60,$J$2:$J$13,1,0)),0,1)+IF($AG$21=1,IF(ISERROR(VLOOKUP(N60,Szarmaztatas!$H$5:$H$14,1,0)),0,1),0)</f>
        <v>0</v>
      </c>
      <c r="Y60" s="53" t="str">
        <f t="shared" si="20"/>
        <v/>
      </c>
      <c r="Z60" s="227"/>
      <c r="AA60">
        <f>IF(V60=0,0,VLOOKUP(V60,Szarmaztatas!$B$4:$F$28,Q60+1,FALSE))</f>
        <v>0</v>
      </c>
      <c r="AD60" s="55"/>
      <c r="AE60" s="55"/>
      <c r="AF60" s="55"/>
      <c r="AG60" s="55"/>
      <c r="AH60" s="55"/>
      <c r="AI60" s="55"/>
      <c r="AJ60" s="73" t="s">
        <v>1229</v>
      </c>
      <c r="AK60">
        <f>VLOOKUP(AJ60,Karakterlap!$N$2:$Q$72,4,0)</f>
        <v>4</v>
      </c>
      <c r="AL60" s="55"/>
      <c r="AM60" s="55"/>
      <c r="AN60" s="55"/>
      <c r="AO60" s="55"/>
      <c r="AP60" s="55"/>
      <c r="AQ60" s="55"/>
      <c r="AR60" s="55"/>
      <c r="AS60" s="56"/>
    </row>
    <row r="61" spans="1:45" x14ac:dyDescent="0.25">
      <c r="M61" s="86"/>
      <c r="N61" s="80" t="s">
        <v>1269</v>
      </c>
      <c r="O61" s="224"/>
      <c r="P61" t="s">
        <v>1093</v>
      </c>
      <c r="Q61">
        <f t="shared" si="25"/>
        <v>3</v>
      </c>
      <c r="R61" t="s">
        <v>1521</v>
      </c>
      <c r="S61" t="s">
        <v>1521</v>
      </c>
      <c r="T61">
        <f t="shared" si="17"/>
        <v>-5</v>
      </c>
      <c r="U61">
        <f t="shared" si="18"/>
        <v>-5</v>
      </c>
      <c r="V61" s="78"/>
      <c r="W61" s="137">
        <f t="shared" si="19"/>
        <v>-10</v>
      </c>
      <c r="X61">
        <f>IF(AND(S61="Akaraterő",$AG$6=1),1,0)+VLOOKUP(P61,$AF$9:$AG$18,2,0)+IF(ISERROR(VLOOKUP(N61,$J$2:$J$13,1,0)),0,1)+IF($AG$21=1,IF(ISERROR(VLOOKUP(N61,Szarmaztatas!$H$5:$H$14,1,0)),0,1),0)</f>
        <v>0</v>
      </c>
      <c r="Y61" s="53" t="str">
        <f t="shared" si="20"/>
        <v/>
      </c>
      <c r="Z61" s="227"/>
      <c r="AA61">
        <f>IF(V61=0,0,VLOOKUP(V61,Szarmaztatas!$B$4:$F$28,Q61+1,FALSE))</f>
        <v>0</v>
      </c>
      <c r="AD61" s="55"/>
      <c r="AE61" s="55"/>
      <c r="AF61" s="55"/>
      <c r="AG61" s="55"/>
      <c r="AH61" s="55"/>
      <c r="AI61" s="55"/>
      <c r="AJ61" s="73" t="s">
        <v>1313</v>
      </c>
      <c r="AK61">
        <f>VLOOKUP(AJ61,Karakterlap!$N$2:$Q$72,4,0)</f>
        <v>4</v>
      </c>
      <c r="AL61" s="55"/>
      <c r="AM61" s="55"/>
      <c r="AN61" s="55"/>
      <c r="AO61" s="55"/>
      <c r="AP61" s="55"/>
      <c r="AQ61" s="55"/>
      <c r="AR61" s="55"/>
      <c r="AS61" s="56"/>
    </row>
    <row r="62" spans="1:45" x14ac:dyDescent="0.25">
      <c r="M62" s="88"/>
      <c r="N62" s="81" t="s">
        <v>1418</v>
      </c>
      <c r="O62" s="225"/>
      <c r="P62" s="209" t="s">
        <v>1093</v>
      </c>
      <c r="Q62" s="209">
        <f t="shared" si="25"/>
        <v>3</v>
      </c>
      <c r="R62" s="209" t="s">
        <v>1521</v>
      </c>
      <c r="S62" s="209" t="s">
        <v>1521</v>
      </c>
      <c r="T62" s="209">
        <f t="shared" si="17"/>
        <v>-5</v>
      </c>
      <c r="U62" s="209">
        <f t="shared" si="18"/>
        <v>-5</v>
      </c>
      <c r="V62" s="79"/>
      <c r="W62" s="166">
        <f t="shared" si="19"/>
        <v>-10</v>
      </c>
      <c r="X62" s="209">
        <f>IF(AND(S62="Akaraterő",$AG$6=1),1,0)+VLOOKUP(P62,$AF$9:$AG$18,2,0)+IF(ISERROR(VLOOKUP(N62,$J$2:$J$13,1,0)),0,1)+IF($AG$21=1,IF(ISERROR(VLOOKUP(N62,Szarmaztatas!$H$5:$H$14,1,0)),0,1),0)</f>
        <v>0</v>
      </c>
      <c r="Y62" s="72" t="str">
        <f t="shared" si="20"/>
        <v/>
      </c>
      <c r="Z62" s="225"/>
      <c r="AA62" s="209">
        <f>IF(V62=0,0,VLOOKUP(V62,Szarmaztatas!$B$4:$F$28,Q62+1,FALSE))</f>
        <v>0</v>
      </c>
      <c r="AD62" s="55"/>
      <c r="AE62" s="55"/>
      <c r="AF62" s="55"/>
      <c r="AG62" s="57"/>
      <c r="AH62" s="57"/>
      <c r="AI62" s="57"/>
      <c r="AJ62" s="73" t="s">
        <v>1234</v>
      </c>
      <c r="AK62">
        <f>VLOOKUP(AJ62,Karakterlap!$N$2:$Q$72,4,0)</f>
        <v>4</v>
      </c>
      <c r="AL62" s="55"/>
      <c r="AM62" s="55"/>
      <c r="AN62" s="55"/>
      <c r="AO62" s="55"/>
      <c r="AP62" s="55"/>
      <c r="AQ62" s="55"/>
      <c r="AR62" s="55"/>
      <c r="AS62" s="56"/>
    </row>
    <row r="63" spans="1:45" x14ac:dyDescent="0.25">
      <c r="M63" s="86"/>
      <c r="N63" s="80" t="s">
        <v>1222</v>
      </c>
      <c r="O63" s="224"/>
      <c r="P63" t="s">
        <v>251</v>
      </c>
      <c r="Q63">
        <f>VLOOKUP(P63,$AG$35:$AH$44,2,0)-IF(ISERROR(VLOOKUP(N63,$J$24:$J$27,1,0)),0,1)</f>
        <v>4</v>
      </c>
      <c r="R63" t="s">
        <v>1524</v>
      </c>
      <c r="S63" t="s">
        <v>1523</v>
      </c>
      <c r="T63">
        <f t="shared" si="17"/>
        <v>-5</v>
      </c>
      <c r="U63">
        <f t="shared" si="18"/>
        <v>-5</v>
      </c>
      <c r="V63" s="78"/>
      <c r="W63" s="137">
        <f t="shared" si="19"/>
        <v>-10</v>
      </c>
      <c r="X63">
        <f>VLOOKUP(R63,$AD$1:$AG$7,4,0)+VLOOKUP(S63,$AD$1:$AG$7,4,0)+VLOOKUP(P63,$AF$9:$AG$18,2,0)+IF(ISERROR(VLOOKUP(N63,$J$15:$J$22,1,0)),0,1)+IF($AG$21=1,IF(ISERROR(VLOOKUP(N63,Szarmaztatas!$H$5:$H$14,1,0)),0,1),0)</f>
        <v>0</v>
      </c>
      <c r="Y63" s="191" t="str">
        <f t="shared" ref="Y63:Y68" si="26">IF(ISERROR(VLOOKUP(N63,$K$11:$K$14,1,0)),"","jövő hiánya")</f>
        <v/>
      </c>
      <c r="Z63" s="224"/>
      <c r="AA63">
        <f>IF(V63=0,0,VLOOKUP(V63,Szarmaztatas!$B$4:$F$28,Q63+1,FALSE))</f>
        <v>0</v>
      </c>
      <c r="AD63" s="55"/>
      <c r="AE63" s="57"/>
      <c r="AF63" s="57"/>
      <c r="AG63" s="55"/>
      <c r="AH63" s="55"/>
      <c r="AI63" s="55"/>
      <c r="AJ63" s="73" t="s">
        <v>1236</v>
      </c>
      <c r="AK63">
        <f>VLOOKUP(AJ63,Karakterlap!$N$2:$Q$72,4,0)</f>
        <v>4</v>
      </c>
      <c r="AL63" s="55"/>
      <c r="AM63" s="55"/>
      <c r="AN63" s="55"/>
      <c r="AO63" s="55"/>
      <c r="AP63" s="55"/>
      <c r="AQ63" s="55"/>
      <c r="AR63" s="55"/>
      <c r="AS63" s="55"/>
    </row>
    <row r="64" spans="1:45" x14ac:dyDescent="0.25">
      <c r="M64" s="86"/>
      <c r="N64" s="80" t="s">
        <v>1223</v>
      </c>
      <c r="O64" s="224"/>
      <c r="P64" t="s">
        <v>251</v>
      </c>
      <c r="Q64">
        <f>VLOOKUP(P64,$AG$35:$AH$44,2,0)-IF(ISERROR(VLOOKUP(N64,$J$24:$J$27,1,0)),0,1)</f>
        <v>4</v>
      </c>
      <c r="R64" t="s">
        <v>1524</v>
      </c>
      <c r="S64" t="s">
        <v>1521</v>
      </c>
      <c r="T64">
        <f t="shared" si="17"/>
        <v>-5</v>
      </c>
      <c r="U64">
        <f t="shared" si="18"/>
        <v>-5</v>
      </c>
      <c r="V64" s="78"/>
      <c r="W64" s="137">
        <f t="shared" si="19"/>
        <v>-10</v>
      </c>
      <c r="X64">
        <f>VLOOKUP(R64,$AD$1:$AG$7,4,0)+VLOOKUP(S64,$AD$1:$AG$7,4,0)+VLOOKUP(P64,$AF$9:$AG$18,2,0)+IF(ISERROR(VLOOKUP(N64,$J$15:$J$22,1,0)),0,1)+IF($AG$21=1,IF(ISERROR(VLOOKUP(N64,Szarmaztatas!$H$5:$H$14,1,0)),0,1),0)</f>
        <v>0</v>
      </c>
      <c r="Y64" s="191" t="str">
        <f t="shared" si="26"/>
        <v/>
      </c>
      <c r="Z64" s="224"/>
      <c r="AA64">
        <f>IF(V64=0,0,VLOOKUP(V64,Szarmaztatas!$B$4:$F$28,Q64+1,FALSE))</f>
        <v>0</v>
      </c>
      <c r="AD64" s="55"/>
      <c r="AE64" s="55"/>
      <c r="AF64" s="55"/>
      <c r="AG64" s="55"/>
      <c r="AH64" s="55"/>
      <c r="AI64" s="55"/>
      <c r="AJ64" s="73" t="s">
        <v>1239</v>
      </c>
      <c r="AK64">
        <f>VLOOKUP(AJ64,Karakterlap!$N$2:$Q$72,4,0)</f>
        <v>4</v>
      </c>
      <c r="AL64" s="55"/>
      <c r="AM64" s="55"/>
      <c r="AN64" s="55"/>
      <c r="AO64" s="55"/>
      <c r="AP64" s="55"/>
      <c r="AQ64" s="55"/>
      <c r="AR64" s="55"/>
      <c r="AS64" s="55"/>
    </row>
    <row r="65" spans="13:45" x14ac:dyDescent="0.25">
      <c r="M65" s="86"/>
      <c r="N65" s="80" t="s">
        <v>891</v>
      </c>
      <c r="O65" s="224"/>
      <c r="P65" t="s">
        <v>251</v>
      </c>
      <c r="Q65">
        <f>VLOOKUP(P65,$AG$35:$AH$44,2,0)-IF(ISERROR(VLOOKUP(N65,$J$24:$J$27,1,0)),0,1)</f>
        <v>4</v>
      </c>
      <c r="R65" t="s">
        <v>1524</v>
      </c>
      <c r="S65" t="s">
        <v>1519</v>
      </c>
      <c r="T65">
        <f t="shared" si="17"/>
        <v>-5</v>
      </c>
      <c r="U65">
        <f t="shared" si="18"/>
        <v>-5</v>
      </c>
      <c r="V65" s="78"/>
      <c r="W65" s="137">
        <f t="shared" si="19"/>
        <v>-10</v>
      </c>
      <c r="X65">
        <f>VLOOKUP(R65,$AD$1:$AG$7,4,0)+VLOOKUP(S65,$AD$1:$AG$7,4,0)+VLOOKUP(P65,$AF$9:$AG$18,2,0)+IF(ISERROR(VLOOKUP(N65,$J$15:$J$22,1,0)),0,1)+IF($AG$21=1,IF(ISERROR(VLOOKUP(N65,Szarmaztatas!$H$5:$H$14,1,0)),0,1),0)</f>
        <v>0</v>
      </c>
      <c r="Y65" s="191" t="str">
        <f t="shared" si="26"/>
        <v/>
      </c>
      <c r="Z65" s="224"/>
      <c r="AA65">
        <f>IF(V65=0,0,VLOOKUP(V65,Szarmaztatas!$B$4:$F$28,Q65+1,FALSE))</f>
        <v>0</v>
      </c>
      <c r="AD65" s="55"/>
      <c r="AE65" s="55"/>
      <c r="AF65" s="55"/>
      <c r="AG65" s="55"/>
      <c r="AH65" s="55"/>
      <c r="AI65" s="55"/>
      <c r="AJ65" s="73" t="s">
        <v>1224</v>
      </c>
      <c r="AK65">
        <f>VLOOKUP(AJ65,Karakterlap!$N$2:$Q$72,4,0)</f>
        <v>4</v>
      </c>
      <c r="AL65" s="55"/>
      <c r="AM65" s="55"/>
      <c r="AN65" s="55"/>
      <c r="AO65" s="55"/>
      <c r="AP65" s="55"/>
      <c r="AQ65" s="55"/>
      <c r="AR65" s="55"/>
      <c r="AS65" s="55"/>
    </row>
    <row r="66" spans="13:45" x14ac:dyDescent="0.25">
      <c r="M66" s="86"/>
      <c r="N66" s="80" t="s">
        <v>1229</v>
      </c>
      <c r="O66" s="224"/>
      <c r="P66" t="s">
        <v>251</v>
      </c>
      <c r="Q66">
        <f>VLOOKUP(P66,$AG$35:$AH$44,2,0)-IF(ISERROR(VLOOKUP(N66,$J$24:$J$27,1,0)),0,1)</f>
        <v>4</v>
      </c>
      <c r="R66" t="s">
        <v>1524</v>
      </c>
      <c r="S66" t="s">
        <v>1524</v>
      </c>
      <c r="T66">
        <f t="shared" si="17"/>
        <v>-5</v>
      </c>
      <c r="U66">
        <f t="shared" si="18"/>
        <v>-5</v>
      </c>
      <c r="V66" s="78"/>
      <c r="W66" s="137">
        <f t="shared" si="19"/>
        <v>-10</v>
      </c>
      <c r="X66">
        <f>VLOOKUP(R66,$AD$1:$AG$7,4,0)+VLOOKUP(S66,$AD$1:$AG$7,4,0)+VLOOKUP(P66,$AF$9:$AG$18,2,0)+IF(ISERROR(VLOOKUP(N66,$J$15:$J$22,1,0)),0,1)+IF($AG$21=1,IF(ISERROR(VLOOKUP(N66,Szarmaztatas!$H$5:$H$14,1,0)),0,1),0)</f>
        <v>0</v>
      </c>
      <c r="Y66" s="191" t="str">
        <f t="shared" si="26"/>
        <v/>
      </c>
      <c r="Z66" s="224"/>
      <c r="AA66">
        <f>IF(V66=0,0,VLOOKUP(V66,Szarmaztatas!$B$4:$F$28,Q66+1,FALSE))</f>
        <v>0</v>
      </c>
      <c r="AD66" s="57"/>
      <c r="AE66" s="55"/>
      <c r="AF66" s="55"/>
      <c r="AG66" s="55"/>
      <c r="AH66" s="55"/>
      <c r="AI66" s="55"/>
      <c r="AJ66" s="73" t="s">
        <v>1226</v>
      </c>
      <c r="AK66">
        <f>VLOOKUP(AJ66,Karakterlap!$N$2:$Q$72,4,0)</f>
        <v>4</v>
      </c>
      <c r="AL66" s="55"/>
      <c r="AM66" s="55"/>
      <c r="AN66" s="55"/>
      <c r="AO66" s="55"/>
      <c r="AP66" s="55"/>
      <c r="AQ66" s="55"/>
      <c r="AR66" s="55"/>
      <c r="AS66" s="55"/>
    </row>
    <row r="67" spans="13:45" x14ac:dyDescent="0.25">
      <c r="M67" s="86"/>
      <c r="N67" s="80" t="s">
        <v>1313</v>
      </c>
      <c r="O67" s="224"/>
      <c r="P67" t="s">
        <v>251</v>
      </c>
      <c r="Q67">
        <f>VLOOKUP(P67,$AG$35:$AH$44,2,0)-IF(ISERROR(VLOOKUP(N67,$J$24:$J$31,1,0)),0,1)-AH31</f>
        <v>4</v>
      </c>
      <c r="R67" t="s">
        <v>1524</v>
      </c>
      <c r="S67" t="s">
        <v>1521</v>
      </c>
      <c r="T67">
        <f t="shared" si="17"/>
        <v>-5</v>
      </c>
      <c r="U67">
        <f t="shared" si="18"/>
        <v>-5</v>
      </c>
      <c r="V67" s="78"/>
      <c r="W67" s="137">
        <f t="shared" si="19"/>
        <v>-10</v>
      </c>
      <c r="X67">
        <f>VLOOKUP(R67,$AD$1:$AG$7,4,0)+VLOOKUP(S67,$AD$1:$AG$7,4,0)+VLOOKUP(P67,$AF$9:$AG$18,2,0)+IF(ISERROR(VLOOKUP(N67,$J$15:$J$22,1,0)),0,1)+IF($AG$21=1,IF(ISERROR(VLOOKUP(N67,Szarmaztatas!$H$5:$H$14,1,0)),0,1),0)</f>
        <v>0</v>
      </c>
      <c r="Y67" s="191" t="str">
        <f t="shared" si="26"/>
        <v/>
      </c>
      <c r="Z67" s="224"/>
      <c r="AA67">
        <f>IF(V67=0,0,VLOOKUP(V67,Szarmaztatas!$B$4:$F$28,Q67+1,FALSE))</f>
        <v>0</v>
      </c>
      <c r="AD67" s="55"/>
      <c r="AE67" s="55"/>
      <c r="AF67" s="55"/>
      <c r="AG67" s="55"/>
      <c r="AH67" s="55"/>
      <c r="AI67" s="55"/>
      <c r="AJ67" s="73" t="s">
        <v>1228</v>
      </c>
      <c r="AK67" t="e">
        <f>VLOOKUP(AJ67,Karakterlap!$N$2:$Q$72,4,0)</f>
        <v>#N/A</v>
      </c>
      <c r="AL67" s="58"/>
      <c r="AM67" s="58"/>
      <c r="AN67" s="55"/>
      <c r="AO67" s="55"/>
      <c r="AP67" s="55"/>
      <c r="AQ67" s="55"/>
      <c r="AR67" s="55"/>
      <c r="AS67" s="55"/>
    </row>
    <row r="68" spans="13:45" x14ac:dyDescent="0.25">
      <c r="M68" s="86"/>
      <c r="N68" s="80" t="s">
        <v>1234</v>
      </c>
      <c r="O68" s="224"/>
      <c r="P68" t="s">
        <v>251</v>
      </c>
      <c r="Q68">
        <f>VLOOKUP(P68,$AG$35:$AH$44,2,0)-IF(ISERROR(VLOOKUP(N68,$J$24:$J$27,1,0)),0,1)</f>
        <v>4</v>
      </c>
      <c r="R68" t="s">
        <v>1524</v>
      </c>
      <c r="S68" t="s">
        <v>1523</v>
      </c>
      <c r="T68">
        <f t="shared" si="17"/>
        <v>-5</v>
      </c>
      <c r="U68">
        <f t="shared" si="18"/>
        <v>-5</v>
      </c>
      <c r="V68" s="78"/>
      <c r="W68" s="137">
        <f t="shared" si="19"/>
        <v>-10</v>
      </c>
      <c r="X68">
        <f>VLOOKUP(R68,$AD$1:$AG$7,4,0)+VLOOKUP(S68,$AD$1:$AG$7,4,0)+VLOOKUP(P68,$AF$9:$AG$18,2,0)+IF(ISERROR(VLOOKUP(N68,$J$15:$J$22,1,0)),0,1)+IF($AG$21=1,IF(ISERROR(VLOOKUP(N68,Szarmaztatas!$H$5:$H$14,1,0)),0,1),0)</f>
        <v>0</v>
      </c>
      <c r="Y68" s="191" t="str">
        <f t="shared" si="26"/>
        <v/>
      </c>
      <c r="Z68" s="224"/>
      <c r="AA68">
        <f>IF(V68=0,0,VLOOKUP(V68,Szarmaztatas!$B$4:$F$28,Q68+1,FALSE))</f>
        <v>0</v>
      </c>
      <c r="AD68" s="55"/>
      <c r="AE68" s="55"/>
      <c r="AF68" s="55"/>
      <c r="AG68" s="55"/>
      <c r="AH68" s="55"/>
      <c r="AI68" s="55"/>
      <c r="AJ68" s="73" t="s">
        <v>1231</v>
      </c>
      <c r="AK68" t="e">
        <f>VLOOKUP(AJ68,Karakterlap!$N$2:$Q$72,4,0)</f>
        <v>#N/A</v>
      </c>
      <c r="AL68" s="55"/>
      <c r="AM68" s="55"/>
      <c r="AN68" s="56"/>
      <c r="AO68" s="56"/>
      <c r="AP68" s="55"/>
      <c r="AQ68" s="55"/>
      <c r="AR68" s="55"/>
      <c r="AS68" s="55"/>
    </row>
    <row r="69" spans="13:45" x14ac:dyDescent="0.25">
      <c r="M69" s="86"/>
      <c r="N69" s="80" t="s">
        <v>1236</v>
      </c>
      <c r="O69" s="224"/>
      <c r="P69" t="s">
        <v>251</v>
      </c>
      <c r="Q69">
        <f>VLOOKUP(P69,$AG$35:$AH$44,2,0)-IF(ISERROR(VLOOKUP(N69,$J$24:$J$27,1,0)),0,1)-AH23</f>
        <v>4</v>
      </c>
      <c r="R69" t="s">
        <v>1524</v>
      </c>
      <c r="S69" t="s">
        <v>1521</v>
      </c>
      <c r="T69">
        <f t="shared" si="17"/>
        <v>-5</v>
      </c>
      <c r="U69">
        <f t="shared" si="18"/>
        <v>-5</v>
      </c>
      <c r="V69" s="78"/>
      <c r="W69" s="137">
        <f t="shared" si="19"/>
        <v>-10</v>
      </c>
      <c r="X69">
        <f>VLOOKUP(R69,$AD$1:$AG$7,4,0)+VLOOKUP(S69,$AD$1:$AG$7,4,0)+VLOOKUP(P69,$AF$9:$AG$18,2,0)+IF(ISERROR(VLOOKUP(N69,$J$15:$J$22,1,0)),0,1)+IF($AG$21=1,IF(ISERROR(VLOOKUP(N69,Szarmaztatas!$H$5:$H$14,1,0)),0,1),0)</f>
        <v>0</v>
      </c>
      <c r="Y69" s="191" t="str">
        <f>IF(ISERROR(VLOOKUP(N69,$K$11:$K$14,1,0)),IF(ISERROR(VLOOKUP("Röghöz kötött",C31:C35,1,0)),"","röghöz kötött"),"jövő hiánya")</f>
        <v/>
      </c>
      <c r="Z69" s="224"/>
      <c r="AA69">
        <f>IF(V69=0,0,VLOOKUP(V69,Szarmaztatas!$B$4:$F$28,Q69+1,FALSE))</f>
        <v>0</v>
      </c>
      <c r="AD69" s="55"/>
      <c r="AE69" s="55"/>
      <c r="AF69" s="55"/>
      <c r="AG69" s="55"/>
      <c r="AH69" s="55"/>
      <c r="AI69" s="55"/>
      <c r="AJ69" s="73" t="s">
        <v>1442</v>
      </c>
      <c r="AK69" t="e">
        <f>VLOOKUP(AJ69,Karakterlap!$N$2:$Q$72,4,0)</f>
        <v>#N/A</v>
      </c>
      <c r="AL69" s="55"/>
      <c r="AM69" s="55"/>
      <c r="AN69" s="55"/>
      <c r="AO69" s="55"/>
      <c r="AP69" s="56"/>
      <c r="AQ69" s="56"/>
      <c r="AR69" s="55"/>
      <c r="AS69" s="55"/>
    </row>
    <row r="70" spans="13:45" x14ac:dyDescent="0.25">
      <c r="M70" s="86"/>
      <c r="N70" s="80" t="s">
        <v>1239</v>
      </c>
      <c r="O70" s="224"/>
      <c r="P70" t="s">
        <v>251</v>
      </c>
      <c r="Q70">
        <f>VLOOKUP(P70,$AG$35:$AH$44,2,0)-IF(ISERROR(VLOOKUP(N70,$J$24:$J$27,1,0)),0,1)</f>
        <v>4</v>
      </c>
      <c r="R70" t="s">
        <v>1524</v>
      </c>
      <c r="S70" t="s">
        <v>1523</v>
      </c>
      <c r="T70">
        <f t="shared" si="17"/>
        <v>-5</v>
      </c>
      <c r="U70">
        <f t="shared" si="18"/>
        <v>-5</v>
      </c>
      <c r="V70" s="78"/>
      <c r="W70" s="137">
        <f t="shared" si="19"/>
        <v>-10</v>
      </c>
      <c r="X70">
        <f>VLOOKUP(R70,$AD$1:$AG$7,4,0)+VLOOKUP(S70,$AD$1:$AG$7,4,0)+VLOOKUP(P70,$AF$9:$AG$18,2,0)+IF(ISERROR(VLOOKUP(N70,$J$15:$J$22,1,0)),0,1)+IF($AG$21=1,IF(ISERROR(VLOOKUP(N70,Szarmaztatas!$H$5:$H$14,1,0)),0,1),0)</f>
        <v>0</v>
      </c>
      <c r="Y70" s="191" t="str">
        <f>IF(ISERROR(VLOOKUP(N70,$K$11:$K$14,1,0)),"","jövő hiánya")</f>
        <v/>
      </c>
      <c r="Z70" s="224"/>
      <c r="AA70">
        <f>IF(V70=0,0,VLOOKUP(V70,Szarmaztatas!$B$4:$F$28,Q70+1,FALSE))</f>
        <v>0</v>
      </c>
      <c r="AD70" s="55"/>
      <c r="AE70" s="55"/>
      <c r="AF70" s="55"/>
      <c r="AG70" s="55"/>
      <c r="AH70" s="55"/>
      <c r="AI70" s="55"/>
      <c r="AJ70" s="73" t="s">
        <v>1443</v>
      </c>
      <c r="AK70" t="e">
        <f>VLOOKUP(AJ70,Karakterlap!$N$2:$Q$72,4,0)</f>
        <v>#N/A</v>
      </c>
      <c r="AL70" s="55"/>
      <c r="AM70" s="55"/>
      <c r="AN70" s="55"/>
      <c r="AO70" s="55"/>
      <c r="AP70" s="55"/>
      <c r="AQ70" s="55"/>
      <c r="AR70" s="55"/>
      <c r="AS70" s="55"/>
    </row>
    <row r="71" spans="13:45" x14ac:dyDescent="0.25">
      <c r="M71" s="86"/>
      <c r="N71" s="80" t="s">
        <v>1224</v>
      </c>
      <c r="O71" s="224"/>
      <c r="P71" t="s">
        <v>251</v>
      </c>
      <c r="Q71">
        <f>VLOOKUP(P71,$AG$35:$AH$44,2,0)-IF(ISERROR(VLOOKUP(N71,$J$24:$J$27,1,0)),0,1)</f>
        <v>4</v>
      </c>
      <c r="R71" t="s">
        <v>1524</v>
      </c>
      <c r="S71" t="s">
        <v>1523</v>
      </c>
      <c r="T71">
        <f t="shared" si="17"/>
        <v>-5</v>
      </c>
      <c r="U71">
        <f t="shared" si="18"/>
        <v>-5</v>
      </c>
      <c r="V71" s="78"/>
      <c r="W71" s="137">
        <f t="shared" si="19"/>
        <v>-10</v>
      </c>
      <c r="X71">
        <f>VLOOKUP(R71,$AD$1:$AG$7,4,0)+VLOOKUP(S71,$AD$1:$AG$7,4,0)+VLOOKUP(P71,$AF$9:$AG$18,2,0)+IF(ISERROR(VLOOKUP(N71,$J$15:$J$22,1,0)),0,1)+IF($AG$21=1,IF(ISERROR(VLOOKUP(N71,Szarmaztatas!$H$5:$H$14,1,0)),0,1),0)</f>
        <v>0</v>
      </c>
      <c r="Y71" s="191" t="str">
        <f>IF(ISERROR(VLOOKUP(N71,$K$11:$K$14,1,0)),"","jövő hiánya")</f>
        <v/>
      </c>
      <c r="Z71" s="224"/>
      <c r="AA71">
        <f>IF(V71=0,0,VLOOKUP(V71,Szarmaztatas!$B$4:$F$28,Q71+1,FALSE))</f>
        <v>0</v>
      </c>
      <c r="AD71" s="55"/>
      <c r="AE71" s="55"/>
      <c r="AF71" s="55"/>
      <c r="AG71" s="55"/>
      <c r="AH71" s="55"/>
      <c r="AI71" s="55"/>
      <c r="AJ71" s="55"/>
      <c r="AK71" s="53"/>
      <c r="AL71" s="55"/>
      <c r="AM71" s="55"/>
      <c r="AN71" s="55"/>
      <c r="AO71" s="55"/>
      <c r="AP71" s="55"/>
      <c r="AQ71" s="55"/>
      <c r="AR71" s="55"/>
      <c r="AS71" s="55"/>
    </row>
    <row r="72" spans="13:45" x14ac:dyDescent="0.25">
      <c r="M72" s="86"/>
      <c r="N72" s="80" t="s">
        <v>1226</v>
      </c>
      <c r="O72" s="224"/>
      <c r="P72" t="s">
        <v>251</v>
      </c>
      <c r="Q72">
        <f>VLOOKUP(P72,$AG$35:$AH$44,2,0)-IF(ISERROR(VLOOKUP(N72,$J$24:$J$27,1,0)),0,1)</f>
        <v>4</v>
      </c>
      <c r="R72" t="s">
        <v>1524</v>
      </c>
      <c r="S72" t="s">
        <v>1523</v>
      </c>
      <c r="T72">
        <f t="shared" si="17"/>
        <v>-5</v>
      </c>
      <c r="U72">
        <f t="shared" si="18"/>
        <v>-5</v>
      </c>
      <c r="V72" s="78"/>
      <c r="W72" s="137">
        <f t="shared" si="19"/>
        <v>-10</v>
      </c>
      <c r="X72">
        <f>VLOOKUP(R72,$AD$1:$AG$7,4,0)+VLOOKUP(S72,$AD$1:$AG$7,4,0)+VLOOKUP(P72,$AF$9:$AG$18,2,0)+IF(ISERROR(VLOOKUP(N72,$J$15:$J$22,1,0)),0,1)+IF($AG$21=1,IF(ISERROR(VLOOKUP(N72,Szarmaztatas!$H$5:$H$14,1,0)),0,1),0)</f>
        <v>0</v>
      </c>
      <c r="Y72" s="191" t="str">
        <f>IF(ISERROR(VLOOKUP(N72,$K$11:$K$14,1,0)),"","jövő hiánya")</f>
        <v/>
      </c>
      <c r="Z72" s="224"/>
      <c r="AA72">
        <f>IF(V72=0,0,VLOOKUP(V72,Szarmaztatas!$B$4:$F$28,Q72+1,FALSE))</f>
        <v>0</v>
      </c>
      <c r="AD72" s="55"/>
      <c r="AE72" s="55"/>
      <c r="AF72" s="55"/>
      <c r="AG72" s="55"/>
      <c r="AH72" s="55"/>
      <c r="AI72" s="57"/>
      <c r="AJ72" s="57"/>
      <c r="AK72" s="53"/>
      <c r="AL72" s="55"/>
      <c r="AM72" s="55"/>
      <c r="AN72" s="55"/>
      <c r="AO72" s="55"/>
      <c r="AP72" s="55"/>
      <c r="AQ72" s="55"/>
      <c r="AR72" s="55"/>
      <c r="AS72" s="55"/>
    </row>
    <row r="73" spans="13:45" x14ac:dyDescent="0.25">
      <c r="M73" s="86"/>
      <c r="N73" s="80" t="s">
        <v>1228</v>
      </c>
      <c r="O73" s="224"/>
      <c r="P73" t="s">
        <v>251</v>
      </c>
      <c r="Q73">
        <f>VLOOKUP(P73,$AG$35:$AH$44,2,0)-IF(ISERROR(VLOOKUP(N73,$J$24:$J$27,1,0)),0,1)</f>
        <v>4</v>
      </c>
      <c r="R73" t="s">
        <v>1524</v>
      </c>
      <c r="S73" t="s">
        <v>1523</v>
      </c>
      <c r="T73">
        <f t="shared" si="17"/>
        <v>-5</v>
      </c>
      <c r="U73">
        <f t="shared" si="18"/>
        <v>-5</v>
      </c>
      <c r="V73" s="78"/>
      <c r="W73" s="137">
        <f t="shared" si="19"/>
        <v>-10</v>
      </c>
      <c r="X73">
        <f>VLOOKUP(R73,$AD$1:$AG$7,4,0)+VLOOKUP(S73,$AD$1:$AG$7,4,0)+VLOOKUP(P73,$AF$9:$AG$18,2,0)+IF(ISERROR(VLOOKUP(N73,$J$15:$J$22,1,0)),0,1)+IF($AG$21=1,IF(ISERROR(VLOOKUP(N73,Szarmaztatas!$H$5:$H$14,1,0)),0,1),0)</f>
        <v>0</v>
      </c>
      <c r="Y73" s="191" t="str">
        <f>IF(ISERROR(VLOOKUP(N73,$K$11:$K$14,1,0)),"","jövő hiánya")</f>
        <v/>
      </c>
      <c r="Z73" s="224"/>
      <c r="AA73">
        <f>IF(V73=0,0,VLOOKUP(V73,Szarmaztatas!$B$4:$F$28,Q73+1,FALSE))</f>
        <v>0</v>
      </c>
      <c r="AD73" s="55"/>
      <c r="AE73" s="55"/>
      <c r="AF73" s="55"/>
      <c r="AG73" s="55"/>
      <c r="AH73" s="55"/>
      <c r="AI73" s="55"/>
      <c r="AJ73" s="55"/>
      <c r="AK73" s="53"/>
      <c r="AL73" s="56"/>
      <c r="AM73" s="56"/>
      <c r="AN73" s="55"/>
      <c r="AO73" s="55"/>
      <c r="AP73" s="55"/>
      <c r="AQ73" s="55"/>
      <c r="AR73" s="55"/>
      <c r="AS73" s="55"/>
    </row>
    <row r="74" spans="13:45" x14ac:dyDescent="0.25">
      <c r="M74" s="87"/>
      <c r="N74" s="81" t="s">
        <v>1231</v>
      </c>
      <c r="O74" s="225"/>
      <c r="P74" s="209" t="s">
        <v>251</v>
      </c>
      <c r="Q74" s="209">
        <f>VLOOKUP(P74,$AG$35:$AH$44,2,0)-IF(ISERROR(VLOOKUP(N74,$J$24:$J$27,1,0)),0,1)</f>
        <v>4</v>
      </c>
      <c r="R74" s="209" t="s">
        <v>1524</v>
      </c>
      <c r="S74" s="209" t="s">
        <v>1523</v>
      </c>
      <c r="T74" s="209">
        <f t="shared" si="17"/>
        <v>-5</v>
      </c>
      <c r="U74" s="209">
        <f t="shared" si="18"/>
        <v>-5</v>
      </c>
      <c r="V74" s="79"/>
      <c r="W74" s="166">
        <f t="shared" si="19"/>
        <v>-10</v>
      </c>
      <c r="X74" s="209">
        <f>VLOOKUP(R74,$AD$1:$AG$7,4,0)+VLOOKUP(S74,$AD$1:$AG$7,4,0)+VLOOKUP(P74,$AF$9:$AG$18,2,0)+IF(ISERROR(VLOOKUP(N74,$J$15:$J$22,1,0)),0,1)+IF($AG$21=1,IF(ISERROR(VLOOKUP(N74,Szarmaztatas!$H$5:$H$14,1,0)),0,1),0)</f>
        <v>0</v>
      </c>
      <c r="Y74" s="72" t="str">
        <f>IF(ISERROR(VLOOKUP(N74,$K$11:$K$14,1,0)),"","jövő hiánya")</f>
        <v/>
      </c>
      <c r="Z74" s="225"/>
      <c r="AA74" s="209">
        <f>IF(V74=0,0,VLOOKUP(V74,Szarmaztatas!$B$4:$F$28,Q74+1,FALSE))</f>
        <v>0</v>
      </c>
      <c r="AD74" s="55"/>
      <c r="AE74" s="55"/>
      <c r="AF74" s="55"/>
      <c r="AG74" s="55"/>
      <c r="AH74" s="55"/>
      <c r="AI74" s="55"/>
      <c r="AJ74" s="55"/>
      <c r="AK74" s="53"/>
      <c r="AL74" s="55"/>
      <c r="AM74" s="55"/>
      <c r="AN74" s="55"/>
      <c r="AO74" s="55"/>
      <c r="AP74" s="55"/>
      <c r="AQ74" s="55"/>
      <c r="AR74" s="55"/>
      <c r="AS74" s="55"/>
    </row>
    <row r="75" spans="13:45" x14ac:dyDescent="0.25">
      <c r="M75" s="86"/>
      <c r="N75" s="80" t="s">
        <v>1442</v>
      </c>
      <c r="O75" s="224"/>
      <c r="P75" t="s">
        <v>1098</v>
      </c>
      <c r="Q75">
        <f>VLOOKUP(P75,$AG$35:$AH$44,2,0)</f>
        <v>4</v>
      </c>
      <c r="R75" t="s">
        <v>1521</v>
      </c>
      <c r="S75" t="s">
        <v>1523</v>
      </c>
      <c r="T75">
        <f t="shared" si="17"/>
        <v>-5</v>
      </c>
      <c r="U75">
        <f t="shared" si="18"/>
        <v>-5</v>
      </c>
      <c r="V75" s="78"/>
      <c r="W75" s="137">
        <f t="shared" si="19"/>
        <v>-10</v>
      </c>
      <c r="X75">
        <f>VLOOKUP(R75,$AD$1:$AG$7,4,0)+VLOOKUP(S75,$AD$1:$AG$7,4,0)+VLOOKUP(P75,$AF$9:$AG$18,2,0)+IF(ISERROR(VLOOKUP(N75,$J$15:$J$22,1,0)),0,1)+IF($AG$21=1,IF(ISERROR(VLOOKUP(N75,Szarmaztatas!$H$5:$H$14,1,0)),0,1),0)</f>
        <v>0</v>
      </c>
      <c r="Y75" s="53"/>
      <c r="Z75" s="227"/>
      <c r="AA75">
        <f>IF(V75=0,0,VLOOKUP(V75,Szarmaztatas!$B$4:$F$28,Q75+1,FALSE))</f>
        <v>0</v>
      </c>
      <c r="AD75" s="55"/>
      <c r="AE75" s="55"/>
      <c r="AF75" s="55"/>
      <c r="AG75" s="55"/>
      <c r="AH75" s="55"/>
      <c r="AI75" s="57"/>
      <c r="AJ75" s="57"/>
      <c r="AK75" s="53"/>
      <c r="AL75" s="55"/>
      <c r="AM75" s="55"/>
      <c r="AN75" s="55"/>
      <c r="AO75" s="55"/>
      <c r="AP75" s="55"/>
      <c r="AQ75" s="55"/>
      <c r="AR75" s="55"/>
      <c r="AS75" s="55"/>
    </row>
    <row r="76" spans="13:45" x14ac:dyDescent="0.25">
      <c r="M76" s="87"/>
      <c r="N76" s="81" t="s">
        <v>1443</v>
      </c>
      <c r="O76" s="225"/>
      <c r="P76" s="209" t="s">
        <v>1098</v>
      </c>
      <c r="Q76" s="209">
        <f>VLOOKUP(P76,$AG$35:$AH$44,2,0)</f>
        <v>4</v>
      </c>
      <c r="R76" s="209" t="s">
        <v>1521</v>
      </c>
      <c r="S76" s="209" t="s">
        <v>1523</v>
      </c>
      <c r="T76" s="209">
        <f t="shared" si="17"/>
        <v>-5</v>
      </c>
      <c r="U76" s="209">
        <f t="shared" si="18"/>
        <v>-5</v>
      </c>
      <c r="V76" s="79"/>
      <c r="W76" s="166">
        <f t="shared" si="19"/>
        <v>-10</v>
      </c>
      <c r="X76" s="209">
        <f>VLOOKUP(R76,$AD$1:$AG$7,4,0)+VLOOKUP(S76,$AD$1:$AG$7,4,0)+VLOOKUP(P76,$AF$9:$AG$18,2,0)+IF(ISERROR(VLOOKUP(N76,$J$15:$J$22,1,0)),0,1)+IF($AG$21=1,IF(ISERROR(VLOOKUP(N76,Szarmaztatas!$H$5:$H$14,1,0)),0,1),0)</f>
        <v>0</v>
      </c>
      <c r="Y76" s="72"/>
      <c r="Z76" s="225"/>
      <c r="AA76" s="209">
        <f>IF(V76=0,0,VLOOKUP(V76,Szarmaztatas!$B$4:$F$28,Q76+1,FALSE))</f>
        <v>0</v>
      </c>
      <c r="AD76" s="55"/>
      <c r="AE76" s="55"/>
      <c r="AF76" s="55"/>
      <c r="AG76" s="55"/>
      <c r="AH76" s="55"/>
      <c r="AI76" s="55"/>
      <c r="AJ76" s="55"/>
      <c r="AK76" s="53"/>
      <c r="AL76" s="55"/>
      <c r="AM76" s="55"/>
      <c r="AN76" s="55"/>
      <c r="AO76" s="55"/>
      <c r="AP76" s="55"/>
      <c r="AQ76" s="55"/>
      <c r="AR76" s="55"/>
      <c r="AS76" s="55"/>
    </row>
    <row r="77" spans="13:45" x14ac:dyDescent="0.25">
      <c r="Y77" s="231">
        <f>E9</f>
        <v>0</v>
      </c>
      <c r="Z77" s="233" t="s">
        <v>2043</v>
      </c>
      <c r="AA77" s="232">
        <f>SUM(AA6:AA76)</f>
        <v>0</v>
      </c>
      <c r="AB77" s="234" t="s">
        <v>2044</v>
      </c>
      <c r="AC77" s="231">
        <f>E9-AA77</f>
        <v>0</v>
      </c>
      <c r="AD77" s="55"/>
      <c r="AE77" s="55"/>
      <c r="AF77" s="55"/>
      <c r="AG77" s="55"/>
      <c r="AH77" s="57"/>
      <c r="AI77" s="55"/>
      <c r="AJ77" s="55"/>
      <c r="AK77" s="53"/>
      <c r="AL77" s="55"/>
      <c r="AM77" s="55"/>
      <c r="AN77" s="54"/>
      <c r="AO77" s="54"/>
      <c r="AP77" s="55"/>
      <c r="AQ77" s="55"/>
      <c r="AR77" s="55"/>
      <c r="AS77" s="55"/>
    </row>
    <row r="78" spans="13:45" x14ac:dyDescent="0.25">
      <c r="AD78" s="55"/>
      <c r="AE78" s="55"/>
      <c r="AF78" s="55"/>
      <c r="AG78" s="55"/>
      <c r="AH78" s="57"/>
      <c r="AI78" s="55"/>
      <c r="AJ78" s="55"/>
      <c r="AK78" s="53"/>
      <c r="AL78" s="56"/>
      <c r="AM78" s="56"/>
      <c r="AN78" s="56"/>
      <c r="AO78" s="56"/>
      <c r="AP78" s="55"/>
      <c r="AQ78" s="55"/>
      <c r="AR78" s="58"/>
      <c r="AS78" s="58"/>
    </row>
    <row r="79" spans="13:45" x14ac:dyDescent="0.25">
      <c r="AD79" s="57"/>
      <c r="AE79" s="55"/>
      <c r="AF79" s="55"/>
      <c r="AG79" s="55"/>
      <c r="AH79" s="57"/>
      <c r="AI79" s="55"/>
      <c r="AJ79" s="55"/>
      <c r="AK79" s="53"/>
      <c r="AL79" s="55"/>
      <c r="AM79" s="55"/>
      <c r="AN79" s="55"/>
      <c r="AO79" s="55"/>
      <c r="AP79" s="54"/>
      <c r="AQ79" s="54"/>
      <c r="AR79" s="55"/>
      <c r="AS79" s="55"/>
    </row>
    <row r="80" spans="13:45" x14ac:dyDescent="0.25">
      <c r="AD80" s="55"/>
      <c r="AE80" s="55"/>
      <c r="AF80" s="55"/>
      <c r="AG80" s="55"/>
      <c r="AH80" s="57"/>
      <c r="AI80" s="55"/>
      <c r="AJ80" s="55"/>
      <c r="AK80" s="53"/>
      <c r="AL80" s="55"/>
      <c r="AM80" s="55"/>
      <c r="AN80" s="55"/>
      <c r="AO80" s="55"/>
      <c r="AP80" s="55"/>
      <c r="AQ80" s="55"/>
      <c r="AR80" s="55"/>
      <c r="AS80" s="55"/>
    </row>
    <row r="81" spans="30:45" x14ac:dyDescent="0.25">
      <c r="AD81" s="57"/>
      <c r="AE81" s="55"/>
      <c r="AF81" s="55"/>
      <c r="AG81" s="55"/>
      <c r="AH81" s="57"/>
      <c r="AI81" s="55"/>
      <c r="AJ81" s="55"/>
      <c r="AK81" s="53"/>
      <c r="AL81" s="55"/>
      <c r="AM81" s="55"/>
      <c r="AN81" s="55"/>
      <c r="AO81" s="55"/>
      <c r="AP81" s="56"/>
      <c r="AQ81" s="56"/>
      <c r="AR81" s="55"/>
      <c r="AS81" s="55"/>
    </row>
    <row r="82" spans="30:45" x14ac:dyDescent="0.25">
      <c r="AD82" s="55"/>
      <c r="AE82" s="55"/>
      <c r="AF82" s="55"/>
      <c r="AG82" s="55"/>
      <c r="AH82" s="57"/>
      <c r="AI82" s="55"/>
      <c r="AJ82" s="55"/>
      <c r="AK82" s="53"/>
      <c r="AL82" s="55"/>
      <c r="AM82" s="55"/>
      <c r="AN82" s="55"/>
      <c r="AO82" s="55"/>
      <c r="AP82" s="55"/>
      <c r="AQ82" s="55"/>
      <c r="AR82" s="55"/>
      <c r="AS82" s="55"/>
    </row>
    <row r="83" spans="30:45" x14ac:dyDescent="0.25">
      <c r="AD83" s="55"/>
      <c r="AE83" s="55"/>
      <c r="AF83" s="55"/>
      <c r="AG83" s="55"/>
      <c r="AH83" s="57"/>
      <c r="AI83" s="55"/>
      <c r="AJ83" s="55"/>
      <c r="AK83" s="53"/>
      <c r="AL83" s="56"/>
      <c r="AM83" s="56"/>
      <c r="AN83" s="55"/>
      <c r="AO83" s="55"/>
      <c r="AP83" s="55"/>
      <c r="AQ83" s="55"/>
      <c r="AR83" s="55"/>
      <c r="AS83" s="55"/>
    </row>
    <row r="84" spans="30:45" ht="15.75" customHeight="1" x14ac:dyDescent="0.25">
      <c r="AD84" s="55"/>
      <c r="AE84" s="55"/>
      <c r="AF84" s="55"/>
      <c r="AG84" s="55"/>
      <c r="AH84" s="57"/>
      <c r="AI84" s="55"/>
      <c r="AJ84" s="55"/>
      <c r="AK84" s="53"/>
      <c r="AL84" s="55"/>
      <c r="AM84" s="55"/>
      <c r="AN84" s="55"/>
      <c r="AO84" s="55"/>
      <c r="AP84" s="55"/>
      <c r="AQ84" s="55"/>
      <c r="AR84" s="56"/>
      <c r="AS84" s="56"/>
    </row>
    <row r="85" spans="30:45" x14ac:dyDescent="0.25">
      <c r="AD85" s="55"/>
      <c r="AE85" s="55"/>
      <c r="AF85" s="55"/>
      <c r="AG85" s="55"/>
      <c r="AH85" s="55"/>
      <c r="AI85" s="55"/>
      <c r="AJ85" s="55"/>
      <c r="AK85" s="53"/>
      <c r="AL85" s="55"/>
      <c r="AM85" s="55"/>
      <c r="AN85" s="55"/>
      <c r="AO85" s="55"/>
      <c r="AP85" s="55"/>
      <c r="AQ85" s="55"/>
      <c r="AR85" s="55"/>
      <c r="AS85" s="55"/>
    </row>
    <row r="86" spans="30:45" x14ac:dyDescent="0.25">
      <c r="AD86" s="55"/>
      <c r="AE86" s="55"/>
      <c r="AF86" s="57"/>
      <c r="AG86" s="55"/>
      <c r="AH86" s="55"/>
      <c r="AI86" s="55"/>
      <c r="AJ86" s="55"/>
      <c r="AK86" s="53"/>
      <c r="AL86" s="55"/>
      <c r="AM86" s="55"/>
      <c r="AN86" s="55"/>
      <c r="AO86" s="55"/>
      <c r="AP86" s="55"/>
      <c r="AQ86" s="55"/>
      <c r="AR86" s="55"/>
      <c r="AS86" s="55"/>
    </row>
    <row r="87" spans="30:45" x14ac:dyDescent="0.25">
      <c r="AD87" s="55"/>
      <c r="AE87" s="55"/>
      <c r="AF87" s="57"/>
      <c r="AG87" s="55"/>
      <c r="AH87" s="55"/>
      <c r="AI87" s="55"/>
      <c r="AJ87" s="55"/>
      <c r="AK87" s="53"/>
      <c r="AL87" s="55"/>
      <c r="AM87" s="55"/>
      <c r="AN87" s="55"/>
      <c r="AO87" s="55"/>
      <c r="AP87" s="55"/>
      <c r="AQ87" s="55"/>
      <c r="AR87" s="55"/>
      <c r="AS87" s="55"/>
    </row>
    <row r="88" spans="30:45" x14ac:dyDescent="0.25">
      <c r="AD88" s="55"/>
      <c r="AE88" s="55"/>
      <c r="AF88" s="57"/>
      <c r="AG88" s="55"/>
      <c r="AH88" s="55"/>
      <c r="AI88" s="55"/>
      <c r="AJ88" s="57"/>
      <c r="AK88" s="53"/>
      <c r="AL88" s="55"/>
      <c r="AM88" s="55"/>
      <c r="AN88" s="55"/>
      <c r="AO88" s="56"/>
      <c r="AP88" s="55"/>
      <c r="AQ88" s="55"/>
      <c r="AR88" s="55"/>
      <c r="AS88" s="55"/>
    </row>
    <row r="89" spans="30:45" x14ac:dyDescent="0.25">
      <c r="AD89" s="55"/>
      <c r="AE89" s="55"/>
      <c r="AF89" s="57"/>
      <c r="AG89" s="55"/>
      <c r="AH89" s="55"/>
      <c r="AI89" s="55"/>
      <c r="AJ89" s="57"/>
      <c r="AK89" s="53"/>
      <c r="AL89" s="55"/>
      <c r="AM89" s="55"/>
      <c r="AN89" s="55"/>
      <c r="AO89" s="56"/>
      <c r="AP89" s="55"/>
      <c r="AQ89" s="55"/>
      <c r="AR89" s="56"/>
      <c r="AS89" s="56"/>
    </row>
    <row r="90" spans="30:45" x14ac:dyDescent="0.25">
      <c r="AD90" s="55"/>
      <c r="AE90" s="55"/>
      <c r="AF90" s="55"/>
      <c r="AG90" s="57"/>
      <c r="AH90" s="57"/>
      <c r="AI90" s="55"/>
      <c r="AJ90" s="57"/>
      <c r="AK90" s="53"/>
      <c r="AL90" s="55"/>
      <c r="AM90" s="55"/>
      <c r="AN90" s="55"/>
      <c r="AO90" s="56"/>
      <c r="AP90" s="55"/>
      <c r="AQ90" s="55"/>
      <c r="AR90" s="55"/>
      <c r="AS90" s="55"/>
    </row>
    <row r="91" spans="30:45" x14ac:dyDescent="0.25">
      <c r="AD91" s="55"/>
      <c r="AE91" s="55"/>
      <c r="AF91" s="55"/>
      <c r="AG91" s="55"/>
      <c r="AH91" s="55"/>
      <c r="AI91" s="55"/>
      <c r="AJ91" s="57"/>
      <c r="AK91" s="53"/>
      <c r="AL91" s="55"/>
      <c r="AM91" s="55"/>
      <c r="AN91" s="55"/>
      <c r="AO91" s="56"/>
      <c r="AP91" s="55"/>
      <c r="AQ91" s="55"/>
      <c r="AR91" s="55"/>
      <c r="AS91" s="55"/>
    </row>
    <row r="92" spans="30:45" x14ac:dyDescent="0.25">
      <c r="AD92" s="55"/>
      <c r="AE92" s="55"/>
      <c r="AF92" s="55"/>
      <c r="AG92" s="55"/>
      <c r="AH92" s="55"/>
      <c r="AI92" s="55"/>
      <c r="AJ92" s="57"/>
      <c r="AK92" s="53"/>
      <c r="AL92" s="55"/>
      <c r="AM92" s="55"/>
      <c r="AN92" s="55"/>
      <c r="AO92" s="55"/>
      <c r="AP92" s="56"/>
      <c r="AQ92" s="56"/>
      <c r="AR92" s="55"/>
      <c r="AS92" s="55"/>
    </row>
    <row r="93" spans="30:45" x14ac:dyDescent="0.25">
      <c r="AD93" s="55"/>
      <c r="AE93" s="55"/>
      <c r="AF93" s="55"/>
      <c r="AG93" s="55"/>
      <c r="AH93" s="55"/>
      <c r="AI93" s="55"/>
      <c r="AJ93" s="57"/>
      <c r="AK93" s="53"/>
      <c r="AL93" s="55"/>
      <c r="AM93" s="55"/>
      <c r="AN93" s="55"/>
      <c r="AO93" s="55"/>
      <c r="AP93" s="55"/>
      <c r="AQ93" s="55"/>
      <c r="AR93" s="55"/>
      <c r="AS93" s="55"/>
    </row>
    <row r="94" spans="30:45" x14ac:dyDescent="0.25">
      <c r="AD94" s="55"/>
      <c r="AE94" s="55"/>
      <c r="AF94" s="55"/>
      <c r="AG94" s="55"/>
      <c r="AH94" s="55"/>
      <c r="AI94" s="55"/>
      <c r="AJ94" s="57"/>
      <c r="AK94" s="53"/>
      <c r="AL94" s="55"/>
      <c r="AM94" s="56"/>
      <c r="AN94" s="55"/>
      <c r="AO94" s="55"/>
      <c r="AP94" s="55"/>
      <c r="AQ94" s="56"/>
      <c r="AR94" s="55"/>
      <c r="AS94" s="55"/>
    </row>
    <row r="95" spans="30:45" x14ac:dyDescent="0.25">
      <c r="AD95" s="55"/>
      <c r="AE95" s="55"/>
      <c r="AF95" s="55"/>
      <c r="AG95" s="55"/>
      <c r="AH95" s="55"/>
      <c r="AI95" s="55"/>
      <c r="AJ95" s="57"/>
      <c r="AK95" s="53"/>
      <c r="AL95" s="55"/>
      <c r="AM95" s="56"/>
      <c r="AN95" s="55"/>
      <c r="AO95" s="55"/>
      <c r="AP95" s="55"/>
      <c r="AQ95" s="56"/>
      <c r="AR95" s="54"/>
      <c r="AS95" s="54"/>
    </row>
    <row r="96" spans="30:45" x14ac:dyDescent="0.25">
      <c r="AD96" s="55"/>
      <c r="AE96" s="55"/>
      <c r="AF96" s="55"/>
      <c r="AG96" s="55"/>
      <c r="AH96" s="55"/>
      <c r="AI96" s="55"/>
      <c r="AJ96" s="55"/>
      <c r="AK96" s="53"/>
      <c r="AL96" s="55"/>
      <c r="AM96" s="56"/>
      <c r="AN96" s="55"/>
      <c r="AO96" s="55"/>
      <c r="AP96" s="55"/>
      <c r="AQ96" s="56"/>
      <c r="AR96" s="55"/>
      <c r="AS96" s="55"/>
    </row>
    <row r="97" spans="30:45" x14ac:dyDescent="0.25">
      <c r="AD97" s="55"/>
      <c r="AE97" s="55"/>
      <c r="AF97" s="55"/>
      <c r="AG97" s="55"/>
      <c r="AH97" s="55"/>
      <c r="AI97" s="55"/>
      <c r="AJ97" s="55"/>
      <c r="AK97" s="53"/>
      <c r="AL97" s="55"/>
      <c r="AM97" s="56"/>
      <c r="AN97" s="55"/>
      <c r="AO97" s="55"/>
      <c r="AP97" s="55"/>
      <c r="AQ97" s="56"/>
      <c r="AR97" s="56"/>
      <c r="AS97" s="56"/>
    </row>
    <row r="98" spans="30:45" x14ac:dyDescent="0.25">
      <c r="AD98" s="55"/>
      <c r="AE98" s="57"/>
      <c r="AF98" s="57"/>
      <c r="AG98" s="55"/>
      <c r="AH98" s="55"/>
      <c r="AI98" s="55"/>
      <c r="AJ98" s="55"/>
      <c r="AK98" s="53"/>
      <c r="AL98" s="55"/>
      <c r="AM98" s="55"/>
      <c r="AN98" s="55"/>
      <c r="AO98" s="55"/>
      <c r="AP98" s="55"/>
      <c r="AQ98" s="55"/>
      <c r="AR98" s="55"/>
      <c r="AS98" s="55"/>
    </row>
    <row r="99" spans="30:45" x14ac:dyDescent="0.25">
      <c r="AD99" s="55"/>
      <c r="AE99" s="57"/>
      <c r="AF99" s="57"/>
      <c r="AG99" s="55"/>
      <c r="AH99" s="55"/>
      <c r="AI99" s="55"/>
      <c r="AJ99" s="55"/>
      <c r="AK99" s="53"/>
      <c r="AL99" s="55"/>
      <c r="AM99" s="55"/>
      <c r="AN99" s="55"/>
      <c r="AO99" s="55"/>
      <c r="AP99" s="55"/>
      <c r="AQ99" s="55"/>
      <c r="AR99" s="55"/>
      <c r="AS99" s="55"/>
    </row>
    <row r="100" spans="30:45" x14ac:dyDescent="0.25">
      <c r="AD100" s="55"/>
      <c r="AE100" s="55"/>
      <c r="AF100" s="55"/>
      <c r="AG100" s="55"/>
      <c r="AH100" s="55"/>
      <c r="AI100" s="55"/>
      <c r="AJ100" s="55"/>
      <c r="AK100" s="53"/>
      <c r="AL100" s="55"/>
      <c r="AM100" s="55"/>
      <c r="AN100" s="55"/>
      <c r="AO100" s="55"/>
      <c r="AP100" s="55"/>
      <c r="AQ100" s="55"/>
      <c r="AR100" s="55"/>
      <c r="AS100" s="55"/>
    </row>
    <row r="101" spans="30:45" x14ac:dyDescent="0.25">
      <c r="AD101" s="55"/>
      <c r="AE101" s="55"/>
      <c r="AF101" s="55"/>
      <c r="AG101" s="55"/>
      <c r="AH101" s="55"/>
      <c r="AI101" s="55"/>
      <c r="AJ101" s="55"/>
      <c r="AK101" s="53"/>
      <c r="AL101" s="55"/>
      <c r="AM101" s="55"/>
      <c r="AN101" s="55"/>
      <c r="AO101" s="55"/>
      <c r="AP101" s="55"/>
      <c r="AQ101" s="55"/>
      <c r="AR101" s="55"/>
      <c r="AS101" s="55"/>
    </row>
    <row r="102" spans="30:45" x14ac:dyDescent="0.25">
      <c r="AD102" s="55"/>
      <c r="AE102" s="55"/>
      <c r="AF102" s="55"/>
      <c r="AG102" s="55"/>
      <c r="AH102" s="55"/>
      <c r="AI102" s="57"/>
      <c r="AJ102" s="57"/>
      <c r="AK102" s="53"/>
      <c r="AL102" s="55"/>
      <c r="AM102" s="55"/>
      <c r="AN102" s="55"/>
      <c r="AO102" s="55"/>
      <c r="AP102" s="55"/>
      <c r="AQ102" s="55"/>
      <c r="AR102" s="55"/>
      <c r="AS102" s="55"/>
    </row>
    <row r="103" spans="30:45" x14ac:dyDescent="0.25">
      <c r="AD103" s="55"/>
      <c r="AE103" s="55"/>
      <c r="AF103" s="55"/>
      <c r="AG103" s="55"/>
      <c r="AH103" s="55"/>
      <c r="AI103" s="55"/>
      <c r="AJ103" s="55"/>
      <c r="AK103" s="53"/>
      <c r="AL103" s="55"/>
      <c r="AM103" s="55"/>
      <c r="AN103" s="55"/>
      <c r="AO103" s="55"/>
      <c r="AP103" s="55"/>
      <c r="AQ103" s="55"/>
      <c r="AR103" s="55"/>
      <c r="AS103" s="55"/>
    </row>
    <row r="104" spans="30:45" x14ac:dyDescent="0.25">
      <c r="AD104" s="55"/>
      <c r="AE104" s="55"/>
      <c r="AF104" s="55"/>
      <c r="AG104" s="55"/>
      <c r="AH104" s="55"/>
      <c r="AI104" s="55"/>
      <c r="AJ104" s="55"/>
      <c r="AK104" s="53"/>
      <c r="AL104" s="55"/>
      <c r="AM104" s="55"/>
      <c r="AN104" s="55"/>
      <c r="AO104" s="55"/>
      <c r="AP104" s="55"/>
      <c r="AQ104" s="55"/>
      <c r="AR104" s="55"/>
      <c r="AS104" s="55"/>
    </row>
    <row r="105" spans="30:45" x14ac:dyDescent="0.25">
      <c r="AD105" s="57"/>
      <c r="AE105" s="55"/>
      <c r="AF105" s="55"/>
      <c r="AG105" s="55"/>
      <c r="AH105" s="55"/>
      <c r="AI105" s="55"/>
      <c r="AJ105" s="55"/>
      <c r="AK105" s="53"/>
      <c r="AL105" s="55"/>
      <c r="AM105" s="55"/>
      <c r="AN105" s="55"/>
      <c r="AO105" s="55"/>
      <c r="AP105" s="55"/>
      <c r="AQ105" s="55"/>
      <c r="AR105" s="55"/>
      <c r="AS105" s="55"/>
    </row>
    <row r="106" spans="30:45" x14ac:dyDescent="0.25">
      <c r="AD106" s="57"/>
      <c r="AE106" s="55"/>
      <c r="AF106" s="55"/>
      <c r="AG106" s="55"/>
      <c r="AH106" s="55"/>
      <c r="AI106" s="55"/>
      <c r="AJ106" s="55"/>
      <c r="AK106" s="53"/>
      <c r="AL106" s="55"/>
      <c r="AM106" s="55"/>
      <c r="AN106" s="55"/>
      <c r="AO106" s="55"/>
      <c r="AP106" s="55"/>
      <c r="AQ106" s="55"/>
      <c r="AR106" s="55"/>
      <c r="AS106" s="55"/>
    </row>
    <row r="107" spans="30:45" x14ac:dyDescent="0.25">
      <c r="AD107" s="55"/>
      <c r="AE107" s="55"/>
      <c r="AF107" s="55"/>
      <c r="AG107" s="55"/>
      <c r="AH107" s="55"/>
      <c r="AI107" s="55"/>
      <c r="AJ107" s="55"/>
      <c r="AK107" s="53"/>
      <c r="AL107" s="55"/>
      <c r="AM107" s="55"/>
      <c r="AN107" s="55"/>
      <c r="AO107" s="55"/>
      <c r="AP107" s="55"/>
      <c r="AQ107" s="55"/>
      <c r="AR107" s="55"/>
      <c r="AS107" s="55"/>
    </row>
    <row r="108" spans="30:45" x14ac:dyDescent="0.25">
      <c r="AD108" s="55"/>
      <c r="AE108" s="55"/>
      <c r="AF108" s="55"/>
      <c r="AG108" s="55"/>
      <c r="AH108" s="55"/>
      <c r="AI108" s="55"/>
      <c r="AJ108" s="55"/>
      <c r="AK108" s="53"/>
      <c r="AL108" s="55"/>
      <c r="AM108" s="55"/>
      <c r="AN108" s="55"/>
      <c r="AO108" s="55"/>
      <c r="AP108" s="55"/>
      <c r="AQ108" s="55"/>
      <c r="AR108" s="55"/>
      <c r="AS108" s="55"/>
    </row>
    <row r="109" spans="30:45" x14ac:dyDescent="0.25">
      <c r="AD109" s="55"/>
      <c r="AE109" s="55"/>
      <c r="AF109" s="55"/>
      <c r="AG109" s="55"/>
      <c r="AH109" s="55"/>
      <c r="AI109" s="55"/>
      <c r="AJ109" s="55"/>
      <c r="AK109" s="53"/>
      <c r="AL109" s="55"/>
      <c r="AM109" s="55"/>
      <c r="AN109" s="55"/>
      <c r="AO109" s="55"/>
      <c r="AP109" s="55"/>
      <c r="AQ109" s="55"/>
      <c r="AR109" s="56"/>
      <c r="AS109" s="56"/>
    </row>
    <row r="110" spans="30:45" x14ac:dyDescent="0.25">
      <c r="AD110" s="55"/>
      <c r="AE110" s="55"/>
      <c r="AF110" s="55"/>
      <c r="AG110" s="55"/>
      <c r="AH110" s="55"/>
      <c r="AI110" s="55"/>
      <c r="AJ110" s="55"/>
      <c r="AK110" s="53"/>
      <c r="AL110" s="55"/>
      <c r="AM110" s="55"/>
      <c r="AN110" s="55"/>
      <c r="AO110" s="55"/>
      <c r="AP110" s="55"/>
      <c r="AQ110" s="55"/>
      <c r="AR110" s="55"/>
      <c r="AS110" s="55"/>
    </row>
    <row r="111" spans="30:45" x14ac:dyDescent="0.25">
      <c r="AD111" s="55"/>
      <c r="AE111" s="57"/>
      <c r="AF111" s="57"/>
      <c r="AG111" s="55"/>
      <c r="AH111" s="55"/>
      <c r="AI111" s="55"/>
      <c r="AJ111" s="55"/>
      <c r="AK111" s="53"/>
      <c r="AL111" s="55"/>
      <c r="AM111" s="55"/>
      <c r="AN111" s="55"/>
      <c r="AO111" s="55"/>
      <c r="AP111" s="55"/>
      <c r="AQ111" s="55"/>
      <c r="AR111" s="55"/>
      <c r="AS111" s="56"/>
    </row>
    <row r="112" spans="30:45" x14ac:dyDescent="0.25">
      <c r="AD112" s="55"/>
      <c r="AE112" s="55"/>
      <c r="AF112" s="55"/>
      <c r="AG112" s="55"/>
      <c r="AH112" s="55"/>
      <c r="AI112" s="55"/>
      <c r="AJ112" s="55"/>
      <c r="AK112" s="53"/>
      <c r="AL112" s="55"/>
      <c r="AM112" s="55"/>
      <c r="AN112" s="55"/>
      <c r="AO112" s="55"/>
      <c r="AP112" s="55"/>
      <c r="AQ112" s="55"/>
      <c r="AR112" s="55"/>
      <c r="AS112" s="56"/>
    </row>
    <row r="113" spans="30:45" x14ac:dyDescent="0.25">
      <c r="AD113" s="55"/>
      <c r="AE113" s="55"/>
      <c r="AF113" s="55"/>
      <c r="AG113" s="55"/>
      <c r="AH113" s="55"/>
      <c r="AI113" s="55"/>
      <c r="AJ113" s="55"/>
      <c r="AK113" s="53"/>
      <c r="AL113" s="55"/>
      <c r="AM113" s="55"/>
      <c r="AN113" s="55"/>
      <c r="AO113" s="55"/>
      <c r="AP113" s="55"/>
      <c r="AQ113" s="55"/>
      <c r="AR113" s="55"/>
      <c r="AS113" s="56"/>
    </row>
    <row r="114" spans="30:45" x14ac:dyDescent="0.25">
      <c r="AD114" s="55"/>
      <c r="AE114" s="55"/>
      <c r="AF114" s="55"/>
      <c r="AG114" s="55"/>
      <c r="AH114" s="55"/>
      <c r="AI114" s="55"/>
      <c r="AJ114" s="55"/>
      <c r="AK114" s="53"/>
      <c r="AL114" s="55"/>
      <c r="AM114" s="55"/>
      <c r="AN114" s="55"/>
      <c r="AO114" s="55"/>
      <c r="AP114" s="55"/>
      <c r="AQ114" s="55"/>
      <c r="AR114" s="55"/>
      <c r="AS114" s="56"/>
    </row>
    <row r="115" spans="30:45" x14ac:dyDescent="0.25">
      <c r="AD115" s="55"/>
      <c r="AE115" s="55"/>
      <c r="AF115" s="55"/>
      <c r="AG115" s="55"/>
      <c r="AH115" s="57"/>
      <c r="AI115" s="57"/>
      <c r="AJ115" s="57"/>
      <c r="AK115" s="53"/>
      <c r="AL115" s="55"/>
      <c r="AM115" s="55"/>
      <c r="AN115" s="55"/>
      <c r="AO115" s="55"/>
      <c r="AP115" s="55"/>
      <c r="AQ115" s="55"/>
      <c r="AR115" s="55"/>
      <c r="AS115" s="55"/>
    </row>
    <row r="116" spans="30:45" x14ac:dyDescent="0.25">
      <c r="AD116" s="55"/>
      <c r="AE116" s="55"/>
      <c r="AF116" s="55"/>
      <c r="AG116" s="55"/>
      <c r="AH116" s="57"/>
      <c r="AI116" s="55"/>
      <c r="AJ116" s="55"/>
      <c r="AK116" s="53"/>
      <c r="AL116" s="55"/>
      <c r="AM116" s="55"/>
      <c r="AN116" s="55"/>
      <c r="AO116" s="55"/>
      <c r="AP116" s="55"/>
      <c r="AQ116" s="55"/>
      <c r="AR116" s="55"/>
      <c r="AS116" s="55"/>
    </row>
    <row r="117" spans="30:45" x14ac:dyDescent="0.25">
      <c r="AD117" s="55"/>
      <c r="AE117" s="55"/>
      <c r="AF117" s="55"/>
      <c r="AG117" s="55"/>
      <c r="AH117" s="57"/>
      <c r="AI117" s="57"/>
      <c r="AJ117" s="57"/>
      <c r="AK117" s="53"/>
      <c r="AL117" s="55"/>
      <c r="AM117" s="55"/>
      <c r="AN117" s="55"/>
      <c r="AO117" s="55"/>
      <c r="AP117" s="55"/>
      <c r="AQ117" s="55"/>
      <c r="AR117" s="55"/>
      <c r="AS117" s="55"/>
    </row>
    <row r="118" spans="30:45" x14ac:dyDescent="0.25">
      <c r="AD118" s="55"/>
      <c r="AE118" s="55"/>
      <c r="AF118" s="55"/>
      <c r="AG118" s="55"/>
      <c r="AH118" s="57"/>
      <c r="AI118" s="55"/>
      <c r="AJ118" s="55"/>
      <c r="AK118" s="53"/>
      <c r="AL118" s="55"/>
      <c r="AM118" s="55"/>
      <c r="AN118" s="55"/>
      <c r="AO118" s="55"/>
      <c r="AP118" s="55"/>
      <c r="AQ118" s="55"/>
      <c r="AR118" s="55"/>
      <c r="AS118" s="55"/>
    </row>
    <row r="119" spans="30:45" x14ac:dyDescent="0.25">
      <c r="AD119" s="55"/>
      <c r="AE119" s="55"/>
      <c r="AF119" s="55"/>
      <c r="AG119" s="55"/>
      <c r="AH119" s="55"/>
      <c r="AI119" s="55"/>
      <c r="AJ119" s="55"/>
      <c r="AK119" s="53"/>
      <c r="AL119" s="55"/>
      <c r="AM119" s="55"/>
      <c r="AN119" s="55"/>
      <c r="AO119" s="55"/>
      <c r="AP119" s="55"/>
      <c r="AQ119" s="55"/>
      <c r="AR119" s="55"/>
      <c r="AS119" s="55"/>
    </row>
    <row r="120" spans="30:45" x14ac:dyDescent="0.25">
      <c r="AD120" s="55"/>
      <c r="AE120" s="55"/>
      <c r="AF120" s="55"/>
      <c r="AG120" s="55"/>
      <c r="AH120" s="55"/>
      <c r="AI120" s="55"/>
      <c r="AJ120" s="55"/>
      <c r="AK120" s="53"/>
      <c r="AL120" s="55"/>
      <c r="AM120" s="55"/>
      <c r="AN120" s="55"/>
      <c r="AO120" s="55"/>
      <c r="AP120" s="55"/>
      <c r="AQ120" s="55"/>
      <c r="AR120" s="55"/>
      <c r="AS120" s="55"/>
    </row>
    <row r="121" spans="30:45" x14ac:dyDescent="0.25">
      <c r="AD121" s="55"/>
      <c r="AE121" s="55"/>
      <c r="AF121" s="55"/>
      <c r="AG121" s="55"/>
      <c r="AH121" s="55"/>
      <c r="AI121" s="55"/>
      <c r="AJ121" s="55"/>
      <c r="AK121" s="53"/>
      <c r="AL121" s="55"/>
      <c r="AM121" s="55"/>
      <c r="AN121" s="55"/>
      <c r="AO121" s="55"/>
      <c r="AP121" s="55"/>
      <c r="AQ121" s="55"/>
      <c r="AR121" s="55"/>
      <c r="AS121" s="55"/>
    </row>
    <row r="122" spans="30:45" x14ac:dyDescent="0.25">
      <c r="AD122" s="55"/>
      <c r="AE122" s="55"/>
      <c r="AF122" s="55"/>
      <c r="AG122" s="55"/>
      <c r="AH122" s="55"/>
      <c r="AI122" s="55"/>
      <c r="AJ122" s="55"/>
      <c r="AK122" s="53"/>
      <c r="AL122" s="55"/>
      <c r="AM122" s="55"/>
      <c r="AN122" s="55"/>
      <c r="AO122" s="55"/>
      <c r="AP122" s="55"/>
      <c r="AQ122" s="55"/>
      <c r="AR122" s="55"/>
      <c r="AS122" s="55"/>
    </row>
    <row r="123" spans="30:45" x14ac:dyDescent="0.25">
      <c r="AD123" s="55"/>
      <c r="AE123" s="55"/>
      <c r="AF123" s="55"/>
      <c r="AG123" s="55"/>
      <c r="AH123" s="55"/>
      <c r="AI123" s="55"/>
      <c r="AJ123" s="55"/>
      <c r="AK123" s="53"/>
      <c r="AL123" s="55"/>
      <c r="AM123" s="55"/>
      <c r="AN123" s="55"/>
      <c r="AO123" s="55"/>
      <c r="AP123" s="55"/>
      <c r="AQ123" s="55"/>
      <c r="AR123" s="55"/>
      <c r="AS123" s="55"/>
    </row>
    <row r="124" spans="30:45" x14ac:dyDescent="0.25">
      <c r="AD124" s="55"/>
      <c r="AE124" s="55"/>
      <c r="AF124" s="55"/>
      <c r="AG124" s="55"/>
      <c r="AH124" s="55"/>
      <c r="AI124" s="55"/>
      <c r="AJ124" s="55"/>
      <c r="AK124" s="53"/>
      <c r="AL124" s="55"/>
      <c r="AM124" s="55"/>
      <c r="AN124" s="55"/>
      <c r="AO124" s="55"/>
      <c r="AP124" s="56"/>
      <c r="AQ124" s="56"/>
      <c r="AR124" s="55"/>
      <c r="AS124" s="55"/>
    </row>
    <row r="125" spans="30:45" x14ac:dyDescent="0.25">
      <c r="AD125" s="55"/>
      <c r="AE125" s="55"/>
      <c r="AF125" s="55"/>
      <c r="AG125" s="55"/>
      <c r="AH125" s="55"/>
      <c r="AI125" s="55"/>
      <c r="AJ125" s="55"/>
      <c r="AK125" s="53"/>
      <c r="AL125" s="55"/>
      <c r="AM125" s="55"/>
      <c r="AN125" s="55"/>
      <c r="AO125" s="55"/>
      <c r="AP125" s="55"/>
      <c r="AQ125" s="55"/>
      <c r="AR125" s="55"/>
      <c r="AS125" s="55"/>
    </row>
    <row r="126" spans="30:45" x14ac:dyDescent="0.25">
      <c r="AD126" s="55"/>
      <c r="AE126" s="55"/>
      <c r="AF126" s="55"/>
      <c r="AG126" s="55"/>
      <c r="AH126" s="55"/>
      <c r="AI126" s="55"/>
      <c r="AJ126" s="55"/>
      <c r="AK126" s="53"/>
      <c r="AL126" s="55"/>
      <c r="AM126" s="55"/>
      <c r="AN126" s="55"/>
      <c r="AO126" s="55"/>
      <c r="AP126" s="55"/>
      <c r="AQ126" s="55"/>
      <c r="AR126" s="55"/>
      <c r="AS126" s="55"/>
    </row>
    <row r="127" spans="30:45" x14ac:dyDescent="0.25">
      <c r="AD127" s="55"/>
      <c r="AE127" s="55"/>
      <c r="AF127" s="55"/>
      <c r="AG127" s="57"/>
      <c r="AH127" s="57"/>
      <c r="AI127" s="55"/>
      <c r="AJ127" s="55"/>
      <c r="AK127" s="53"/>
      <c r="AL127" s="55"/>
      <c r="AM127" s="55"/>
      <c r="AN127" s="55"/>
      <c r="AO127" s="55"/>
      <c r="AP127" s="55"/>
      <c r="AQ127" s="55"/>
      <c r="AR127" s="55"/>
      <c r="AS127" s="55"/>
    </row>
    <row r="128" spans="30:45" x14ac:dyDescent="0.25">
      <c r="AD128" s="55"/>
      <c r="AE128" s="55"/>
      <c r="AF128" s="55"/>
      <c r="AG128" s="57"/>
      <c r="AH128" s="57"/>
      <c r="AI128" s="55"/>
      <c r="AJ128" s="55"/>
      <c r="AK128" s="53"/>
      <c r="AL128" s="55"/>
      <c r="AM128" s="55"/>
      <c r="AN128" s="55"/>
      <c r="AO128" s="55"/>
      <c r="AP128" s="55"/>
      <c r="AQ128" s="55"/>
      <c r="AR128" s="55"/>
      <c r="AS128" s="55"/>
    </row>
    <row r="129" spans="30:45" x14ac:dyDescent="0.25">
      <c r="AD129" s="55"/>
      <c r="AE129" s="55"/>
      <c r="AF129" s="55"/>
      <c r="AG129" s="55"/>
      <c r="AH129" s="55"/>
      <c r="AI129" s="55"/>
      <c r="AJ129" s="55"/>
      <c r="AK129" s="53"/>
      <c r="AL129" s="55"/>
      <c r="AM129" s="55"/>
      <c r="AN129" s="55"/>
      <c r="AO129" s="55"/>
      <c r="AP129" s="55"/>
      <c r="AQ129" s="55"/>
      <c r="AR129" s="55"/>
      <c r="AS129" s="55"/>
    </row>
    <row r="130" spans="30:45" x14ac:dyDescent="0.25">
      <c r="AD130" s="55"/>
      <c r="AE130" s="55"/>
      <c r="AF130" s="55"/>
      <c r="AG130" s="55"/>
      <c r="AH130" s="55"/>
      <c r="AI130" s="55"/>
      <c r="AJ130" s="55"/>
      <c r="AK130" s="53"/>
      <c r="AL130" s="55"/>
      <c r="AM130" s="55"/>
      <c r="AN130" s="55"/>
      <c r="AO130" s="55"/>
      <c r="AP130" s="55"/>
      <c r="AQ130" s="55"/>
      <c r="AR130" s="55"/>
      <c r="AS130" s="55"/>
    </row>
    <row r="131" spans="30:45" x14ac:dyDescent="0.25">
      <c r="AD131" s="55"/>
      <c r="AE131" s="57"/>
      <c r="AF131" s="57"/>
      <c r="AG131" s="55"/>
      <c r="AH131" s="55"/>
      <c r="AI131" s="55"/>
      <c r="AJ131" s="57"/>
      <c r="AK131" s="53"/>
      <c r="AL131" s="55"/>
      <c r="AM131" s="55"/>
      <c r="AN131" s="55"/>
      <c r="AO131" s="55"/>
      <c r="AP131" s="55"/>
      <c r="AQ131" s="55"/>
      <c r="AR131" s="55"/>
      <c r="AS131" s="55"/>
    </row>
    <row r="132" spans="30:45" x14ac:dyDescent="0.25">
      <c r="AD132" s="55"/>
      <c r="AE132" s="55"/>
      <c r="AF132" s="55"/>
      <c r="AG132" s="55"/>
      <c r="AH132" s="55"/>
      <c r="AI132" s="55"/>
      <c r="AJ132" s="57"/>
      <c r="AK132" s="53"/>
      <c r="AL132" s="55"/>
      <c r="AM132" s="55"/>
      <c r="AN132" s="55"/>
      <c r="AO132" s="55"/>
      <c r="AP132" s="55"/>
      <c r="AQ132" s="55"/>
      <c r="AR132" s="55"/>
      <c r="AS132" s="55"/>
    </row>
    <row r="133" spans="30:45" x14ac:dyDescent="0.25">
      <c r="AD133" s="55"/>
      <c r="AE133" s="57"/>
      <c r="AF133" s="57"/>
      <c r="AG133" s="55"/>
      <c r="AH133" s="55"/>
      <c r="AI133" s="55"/>
      <c r="AJ133" s="57"/>
      <c r="AK133" s="53"/>
      <c r="AL133" s="55"/>
      <c r="AM133" s="55"/>
      <c r="AN133" s="55"/>
      <c r="AO133" s="55"/>
      <c r="AP133" s="55"/>
      <c r="AQ133" s="55"/>
      <c r="AR133" s="55"/>
      <c r="AS133" s="55"/>
    </row>
    <row r="134" spans="30:45" x14ac:dyDescent="0.25">
      <c r="AD134" s="55"/>
      <c r="AE134" s="55"/>
      <c r="AF134" s="57"/>
      <c r="AG134" s="55"/>
      <c r="AH134" s="55"/>
      <c r="AI134" s="55"/>
      <c r="AJ134" s="57"/>
      <c r="AK134" s="53"/>
      <c r="AL134" s="55"/>
      <c r="AM134" s="55"/>
      <c r="AN134" s="55"/>
      <c r="AO134" s="55"/>
      <c r="AP134" s="55"/>
      <c r="AQ134" s="55"/>
      <c r="AR134" s="55"/>
      <c r="AS134" s="55"/>
    </row>
    <row r="135" spans="30:45" x14ac:dyDescent="0.25">
      <c r="AD135" s="55"/>
      <c r="AE135" s="55"/>
      <c r="AF135" s="57"/>
      <c r="AG135" s="55"/>
      <c r="AH135" s="55"/>
      <c r="AI135" s="55"/>
      <c r="AJ135" s="55"/>
      <c r="AK135" s="53"/>
      <c r="AL135" s="55"/>
      <c r="AM135" s="55"/>
      <c r="AN135" s="55"/>
      <c r="AO135" s="55"/>
      <c r="AP135" s="55"/>
      <c r="AQ135" s="55"/>
      <c r="AR135" s="55"/>
      <c r="AS135" s="55"/>
    </row>
    <row r="136" spans="30:45" x14ac:dyDescent="0.25">
      <c r="AD136" s="55"/>
      <c r="AE136" s="55"/>
      <c r="AF136" s="57"/>
      <c r="AG136" s="55"/>
      <c r="AH136" s="55"/>
      <c r="AI136" s="55"/>
      <c r="AJ136" s="55"/>
      <c r="AK136" s="53"/>
      <c r="AL136" s="55"/>
      <c r="AM136" s="55"/>
      <c r="AN136" s="55"/>
      <c r="AO136" s="55"/>
      <c r="AP136" s="55"/>
      <c r="AQ136" s="55"/>
      <c r="AR136" s="55"/>
      <c r="AS136" s="55"/>
    </row>
    <row r="137" spans="30:45" x14ac:dyDescent="0.25">
      <c r="AD137" s="55"/>
      <c r="AE137" s="55"/>
      <c r="AF137" s="57"/>
      <c r="AG137" s="55"/>
      <c r="AH137" s="55"/>
      <c r="AI137" s="55"/>
      <c r="AJ137" s="55"/>
      <c r="AK137" s="53"/>
      <c r="AL137" s="55"/>
      <c r="AM137" s="55"/>
      <c r="AN137" s="55"/>
      <c r="AO137" s="55"/>
      <c r="AP137" s="55"/>
      <c r="AQ137" s="55"/>
      <c r="AR137" s="55"/>
      <c r="AS137" s="55"/>
    </row>
    <row r="138" spans="30:45" x14ac:dyDescent="0.25">
      <c r="AD138" s="55"/>
      <c r="AE138" s="55"/>
      <c r="AF138" s="55"/>
      <c r="AG138" s="55"/>
      <c r="AH138" s="55"/>
      <c r="AI138" s="55"/>
      <c r="AJ138" s="55"/>
      <c r="AK138" s="53"/>
      <c r="AL138" s="55"/>
      <c r="AM138" s="55"/>
      <c r="AN138" s="55"/>
      <c r="AO138" s="55"/>
      <c r="AP138" s="55"/>
      <c r="AQ138" s="55"/>
      <c r="AR138" s="55"/>
      <c r="AS138" s="55"/>
    </row>
    <row r="139" spans="30:45" x14ac:dyDescent="0.25">
      <c r="AD139" s="55"/>
      <c r="AE139" s="55"/>
      <c r="AF139" s="55"/>
      <c r="AG139" s="55"/>
      <c r="AH139" s="55"/>
      <c r="AI139" s="55"/>
      <c r="AJ139" s="55"/>
      <c r="AK139" s="53"/>
      <c r="AL139" s="55"/>
      <c r="AM139" s="55"/>
      <c r="AN139" s="55"/>
      <c r="AO139" s="55"/>
      <c r="AP139" s="55"/>
      <c r="AQ139" s="55"/>
      <c r="AR139" s="55"/>
      <c r="AS139" s="55"/>
    </row>
    <row r="140" spans="30:45" x14ac:dyDescent="0.25">
      <c r="AD140" s="55"/>
      <c r="AE140" s="55"/>
      <c r="AF140" s="55"/>
      <c r="AG140" s="55"/>
      <c r="AH140" s="55"/>
      <c r="AI140" s="55"/>
      <c r="AJ140" s="55"/>
      <c r="AK140" s="53"/>
      <c r="AL140" s="55"/>
      <c r="AM140" s="55"/>
      <c r="AN140" s="55"/>
      <c r="AO140" s="55"/>
      <c r="AP140" s="55"/>
      <c r="AQ140" s="55"/>
      <c r="AR140" s="55"/>
      <c r="AS140" s="55"/>
    </row>
    <row r="141" spans="30:45" x14ac:dyDescent="0.25">
      <c r="AD141" s="55"/>
      <c r="AE141" s="55"/>
      <c r="AF141" s="55"/>
      <c r="AG141" s="57"/>
      <c r="AH141" s="57"/>
      <c r="AI141" s="55"/>
      <c r="AJ141" s="55"/>
      <c r="AK141" s="53"/>
      <c r="AL141" s="55"/>
      <c r="AM141" s="55"/>
      <c r="AN141" s="58"/>
      <c r="AO141" s="58"/>
      <c r="AP141" s="55"/>
      <c r="AQ141" s="55"/>
      <c r="AR141" s="55"/>
      <c r="AS141" s="55"/>
    </row>
    <row r="142" spans="30:45" x14ac:dyDescent="0.25">
      <c r="AD142" s="55"/>
      <c r="AE142" s="55"/>
      <c r="AF142" s="55"/>
      <c r="AG142" s="55"/>
      <c r="AH142" s="55"/>
      <c r="AI142" s="55"/>
      <c r="AJ142" s="55"/>
      <c r="AK142" s="53"/>
      <c r="AL142" s="55"/>
      <c r="AM142" s="55"/>
      <c r="AN142" s="55"/>
      <c r="AO142" s="55"/>
      <c r="AP142" s="55"/>
      <c r="AQ142" s="55"/>
      <c r="AR142" s="55"/>
      <c r="AS142" s="55"/>
    </row>
    <row r="143" spans="30:45" x14ac:dyDescent="0.25">
      <c r="AD143" s="55"/>
      <c r="AE143" s="55"/>
      <c r="AF143" s="55"/>
      <c r="AG143" s="55"/>
      <c r="AH143" s="55"/>
      <c r="AI143" s="55"/>
      <c r="AJ143" s="55"/>
      <c r="AK143" s="53"/>
      <c r="AL143" s="55"/>
      <c r="AM143" s="55"/>
      <c r="AN143" s="55"/>
      <c r="AO143" s="55"/>
      <c r="AP143" s="55"/>
      <c r="AQ143" s="55"/>
      <c r="AR143" s="56"/>
      <c r="AS143" s="56"/>
    </row>
    <row r="144" spans="30:45" x14ac:dyDescent="0.25">
      <c r="AD144" s="57"/>
      <c r="AE144" s="55"/>
      <c r="AF144" s="57"/>
      <c r="AG144" s="55"/>
      <c r="AH144" s="55"/>
      <c r="AI144" s="55"/>
      <c r="AJ144" s="55"/>
      <c r="AK144" s="53"/>
      <c r="AL144" s="55"/>
      <c r="AM144" s="55"/>
      <c r="AN144" s="55"/>
      <c r="AO144" s="55"/>
      <c r="AP144" s="55"/>
      <c r="AQ144" s="55"/>
      <c r="AR144" s="55"/>
      <c r="AS144" s="55"/>
    </row>
    <row r="145" spans="30:45" x14ac:dyDescent="0.25">
      <c r="AD145" s="55"/>
      <c r="AE145" s="55"/>
      <c r="AF145" s="57"/>
      <c r="AG145" s="55"/>
      <c r="AH145" s="55"/>
      <c r="AI145" s="57"/>
      <c r="AJ145" s="57"/>
      <c r="AK145" s="53"/>
      <c r="AL145" s="55"/>
      <c r="AM145" s="55"/>
      <c r="AN145" s="55"/>
      <c r="AO145" s="55"/>
      <c r="AP145" s="55"/>
      <c r="AQ145" s="55"/>
      <c r="AR145" s="55"/>
      <c r="AS145" s="55"/>
    </row>
    <row r="146" spans="30:45" x14ac:dyDescent="0.25">
      <c r="AD146" s="55"/>
      <c r="AE146" s="55"/>
      <c r="AF146" s="57"/>
      <c r="AG146" s="55"/>
      <c r="AH146" s="55"/>
      <c r="AI146" s="57"/>
      <c r="AJ146" s="57"/>
      <c r="AK146" s="53"/>
      <c r="AL146" s="58"/>
      <c r="AM146" s="58"/>
      <c r="AN146" s="55"/>
      <c r="AO146" s="55"/>
      <c r="AP146" s="55"/>
      <c r="AQ146" s="55"/>
      <c r="AR146" s="55"/>
      <c r="AS146" s="55"/>
    </row>
    <row r="147" spans="30:45" x14ac:dyDescent="0.25">
      <c r="AD147" s="55"/>
      <c r="AE147" s="55"/>
      <c r="AF147" s="57"/>
      <c r="AG147" s="55"/>
      <c r="AH147" s="55"/>
      <c r="AI147" s="55"/>
      <c r="AJ147" s="55"/>
      <c r="AK147" s="53"/>
      <c r="AL147" s="55"/>
      <c r="AM147" s="55"/>
      <c r="AN147" s="55"/>
      <c r="AO147" s="55"/>
      <c r="AP147" s="55"/>
      <c r="AQ147" s="55"/>
      <c r="AR147" s="55"/>
      <c r="AS147" s="55"/>
    </row>
    <row r="148" spans="30:45" x14ac:dyDescent="0.25">
      <c r="AD148" s="55"/>
      <c r="AE148" s="55"/>
      <c r="AF148" s="55"/>
      <c r="AG148" s="55"/>
      <c r="AH148" s="55"/>
      <c r="AI148" s="55"/>
      <c r="AJ148" s="55"/>
      <c r="AK148" s="53"/>
      <c r="AL148" s="55"/>
      <c r="AM148" s="55"/>
      <c r="AN148" s="56"/>
      <c r="AO148" s="56"/>
      <c r="AP148" s="55"/>
      <c r="AQ148" s="55"/>
      <c r="AR148" s="55"/>
      <c r="AS148" s="55"/>
    </row>
    <row r="149" spans="30:45" x14ac:dyDescent="0.25">
      <c r="AD149" s="55"/>
      <c r="AE149" s="55"/>
      <c r="AF149" s="55"/>
      <c r="AG149" s="55"/>
      <c r="AH149" s="55"/>
      <c r="AI149" s="55"/>
      <c r="AJ149" s="55"/>
      <c r="AK149" s="53"/>
      <c r="AL149" s="55"/>
      <c r="AM149" s="55"/>
      <c r="AN149" s="55"/>
      <c r="AO149" s="56"/>
      <c r="AP149" s="55"/>
      <c r="AQ149" s="55"/>
      <c r="AR149" s="55"/>
      <c r="AS149" s="55"/>
    </row>
    <row r="150" spans="30:45" x14ac:dyDescent="0.25">
      <c r="AD150" s="55"/>
      <c r="AE150" s="55"/>
      <c r="AF150" s="57"/>
      <c r="AG150" s="55"/>
      <c r="AH150" s="55"/>
      <c r="AI150" s="55"/>
      <c r="AJ150" s="55"/>
      <c r="AK150" s="53"/>
      <c r="AL150" s="55"/>
      <c r="AM150" s="55"/>
      <c r="AN150" s="55"/>
      <c r="AO150" s="56"/>
      <c r="AP150" s="55"/>
      <c r="AQ150" s="59"/>
      <c r="AR150" s="55"/>
      <c r="AS150" s="55"/>
    </row>
    <row r="151" spans="30:45" x14ac:dyDescent="0.25">
      <c r="AD151" s="55"/>
      <c r="AE151" s="55"/>
      <c r="AF151" s="57"/>
      <c r="AG151" s="55"/>
      <c r="AH151" s="55"/>
      <c r="AI151" s="55"/>
      <c r="AJ151" s="55"/>
      <c r="AK151" s="53"/>
      <c r="AL151" s="55"/>
      <c r="AM151" s="55"/>
      <c r="AN151" s="55"/>
      <c r="AO151" s="56"/>
      <c r="AP151" s="55"/>
      <c r="AQ151" s="59"/>
      <c r="AR151" s="55"/>
      <c r="AS151" s="55"/>
    </row>
    <row r="152" spans="30:45" x14ac:dyDescent="0.25">
      <c r="AD152" s="55"/>
      <c r="AE152" s="55"/>
      <c r="AF152" s="57"/>
      <c r="AG152" s="55"/>
      <c r="AH152" s="55"/>
      <c r="AI152" s="55"/>
      <c r="AJ152" s="55"/>
      <c r="AK152" s="53"/>
      <c r="AL152" s="56"/>
      <c r="AM152" s="56"/>
      <c r="AN152" s="55"/>
      <c r="AO152" s="56"/>
      <c r="AP152" s="55"/>
      <c r="AQ152" s="55"/>
      <c r="AR152" s="55"/>
      <c r="AS152" s="55"/>
    </row>
    <row r="153" spans="30:45" x14ac:dyDescent="0.25">
      <c r="AD153" s="55"/>
      <c r="AE153" s="55"/>
      <c r="AF153" s="57"/>
      <c r="AG153" s="55"/>
      <c r="AH153" s="55"/>
      <c r="AI153" s="55"/>
      <c r="AJ153" s="55"/>
      <c r="AK153" s="53"/>
      <c r="AL153" s="55"/>
      <c r="AM153" s="56"/>
      <c r="AN153" s="55"/>
      <c r="AO153" s="55"/>
      <c r="AP153" s="55"/>
      <c r="AQ153" s="55"/>
      <c r="AR153" s="55"/>
      <c r="AS153" s="55"/>
    </row>
    <row r="154" spans="30:45" x14ac:dyDescent="0.25">
      <c r="AD154" s="55"/>
      <c r="AE154" s="55"/>
      <c r="AF154" s="57"/>
      <c r="AG154" s="55"/>
      <c r="AH154" s="55"/>
      <c r="AI154" s="55"/>
      <c r="AJ154" s="55"/>
      <c r="AK154" s="53"/>
      <c r="AL154" s="55"/>
      <c r="AM154" s="56"/>
      <c r="AN154" s="55"/>
      <c r="AO154" s="55"/>
      <c r="AP154" s="55"/>
      <c r="AQ154" s="55"/>
      <c r="AR154" s="55"/>
      <c r="AS154" s="55"/>
    </row>
    <row r="155" spans="30:45" x14ac:dyDescent="0.25">
      <c r="AD155" s="55"/>
      <c r="AE155" s="55"/>
      <c r="AF155" s="57"/>
      <c r="AG155" s="55"/>
      <c r="AH155" s="55"/>
      <c r="AI155" s="55"/>
      <c r="AJ155" s="55"/>
      <c r="AK155" s="53"/>
      <c r="AL155" s="55"/>
      <c r="AM155" s="56"/>
      <c r="AN155" s="55"/>
      <c r="AO155" s="55"/>
      <c r="AP155" s="55"/>
      <c r="AQ155" s="55"/>
      <c r="AR155" s="55"/>
      <c r="AS155" s="55"/>
    </row>
    <row r="156" spans="30:45" x14ac:dyDescent="0.25">
      <c r="AD156" s="55"/>
      <c r="AE156" s="55"/>
      <c r="AF156" s="57"/>
      <c r="AG156" s="55"/>
      <c r="AH156" s="55"/>
      <c r="AI156" s="55"/>
      <c r="AJ156" s="55"/>
      <c r="AK156" s="53"/>
      <c r="AL156" s="55"/>
      <c r="AM156" s="56"/>
      <c r="AN156" s="55"/>
      <c r="AO156" s="55"/>
      <c r="AP156" s="55"/>
      <c r="AQ156" s="55"/>
      <c r="AR156" s="55"/>
      <c r="AS156" s="55"/>
    </row>
    <row r="157" spans="30:45" x14ac:dyDescent="0.25">
      <c r="AD157" s="55"/>
      <c r="AE157" s="55"/>
      <c r="AF157" s="57"/>
      <c r="AG157" s="55"/>
      <c r="AH157" s="55"/>
      <c r="AI157" s="55"/>
      <c r="AJ157" s="55"/>
      <c r="AK157" s="53"/>
      <c r="AL157" s="55"/>
      <c r="AM157" s="55"/>
      <c r="AN157" s="56"/>
      <c r="AO157" s="56"/>
      <c r="AP157" s="55"/>
      <c r="AQ157" s="55"/>
      <c r="AR157" s="55"/>
      <c r="AS157" s="55"/>
    </row>
    <row r="158" spans="30:45" x14ac:dyDescent="0.25">
      <c r="AD158" s="55"/>
      <c r="AE158" s="55"/>
      <c r="AF158" s="55"/>
      <c r="AG158" s="55"/>
      <c r="AH158" s="55"/>
      <c r="AI158" s="55"/>
      <c r="AJ158" s="55"/>
      <c r="AK158" s="53"/>
      <c r="AL158" s="55"/>
      <c r="AM158" s="55"/>
      <c r="AN158" s="55"/>
      <c r="AO158" s="56"/>
      <c r="AP158" s="55"/>
      <c r="AQ158" s="55"/>
      <c r="AR158" s="55"/>
      <c r="AS158" s="55"/>
    </row>
    <row r="159" spans="30:45" x14ac:dyDescent="0.25">
      <c r="AD159" s="55"/>
      <c r="AE159" s="55"/>
      <c r="AF159" s="55"/>
      <c r="AG159" s="55"/>
      <c r="AH159" s="55"/>
      <c r="AI159" s="55"/>
      <c r="AJ159" s="55"/>
      <c r="AK159" s="53"/>
      <c r="AL159" s="55"/>
      <c r="AM159" s="55"/>
      <c r="AN159" s="55"/>
      <c r="AO159" s="56"/>
      <c r="AP159" s="55"/>
      <c r="AQ159" s="55"/>
      <c r="AR159" s="55"/>
      <c r="AS159" s="55"/>
    </row>
    <row r="160" spans="30:45" x14ac:dyDescent="0.25">
      <c r="AD160" s="55"/>
      <c r="AE160" s="55"/>
      <c r="AF160" s="55"/>
      <c r="AG160" s="55"/>
      <c r="AH160" s="55"/>
      <c r="AI160" s="55"/>
      <c r="AJ160" s="55"/>
      <c r="AK160" s="53"/>
      <c r="AL160" s="55"/>
      <c r="AM160" s="55"/>
      <c r="AN160" s="55"/>
      <c r="AO160" s="56"/>
      <c r="AP160" s="55"/>
      <c r="AQ160" s="55"/>
      <c r="AR160" s="55"/>
      <c r="AS160" s="55"/>
    </row>
    <row r="161" spans="30:45" x14ac:dyDescent="0.25">
      <c r="AD161" s="55"/>
      <c r="AE161" s="57"/>
      <c r="AF161" s="57"/>
      <c r="AG161" s="55"/>
      <c r="AH161" s="55"/>
      <c r="AI161" s="55"/>
      <c r="AJ161" s="55"/>
      <c r="AK161" s="53"/>
      <c r="AL161" s="55"/>
      <c r="AM161" s="56"/>
      <c r="AN161" s="55"/>
      <c r="AO161" s="56"/>
      <c r="AP161" s="58"/>
      <c r="AQ161" s="58"/>
      <c r="AR161" s="55"/>
      <c r="AS161" s="55"/>
    </row>
    <row r="162" spans="30:45" x14ac:dyDescent="0.25">
      <c r="AD162" s="55"/>
      <c r="AE162" s="55"/>
      <c r="AF162" s="55"/>
      <c r="AG162" s="57"/>
      <c r="AH162" s="57"/>
      <c r="AI162" s="57"/>
      <c r="AJ162" s="57"/>
      <c r="AK162" s="53"/>
      <c r="AL162" s="55"/>
      <c r="AM162" s="56"/>
      <c r="AN162" s="55"/>
      <c r="AO162" s="59"/>
      <c r="AP162" s="55"/>
      <c r="AQ162" s="55"/>
      <c r="AR162" s="55"/>
      <c r="AS162" s="55"/>
    </row>
    <row r="163" spans="30:45" x14ac:dyDescent="0.25">
      <c r="AD163" s="55"/>
      <c r="AE163" s="55"/>
      <c r="AF163" s="55"/>
      <c r="AG163" s="55"/>
      <c r="AH163" s="55"/>
      <c r="AI163" s="55"/>
      <c r="AJ163" s="55"/>
      <c r="AK163" s="53"/>
      <c r="AL163" s="55"/>
      <c r="AM163" s="56"/>
      <c r="AN163" s="55"/>
      <c r="AO163" s="59"/>
      <c r="AP163" s="55"/>
      <c r="AQ163" s="55"/>
      <c r="AR163" s="55"/>
      <c r="AS163" s="55"/>
    </row>
    <row r="164" spans="30:45" x14ac:dyDescent="0.25">
      <c r="AD164" s="55"/>
      <c r="AE164" s="55"/>
      <c r="AF164" s="55"/>
      <c r="AG164" s="57"/>
      <c r="AH164" s="57"/>
      <c r="AI164" s="55"/>
      <c r="AJ164" s="55"/>
      <c r="AK164" s="53"/>
      <c r="AL164" s="55"/>
      <c r="AM164" s="56"/>
      <c r="AN164" s="55"/>
      <c r="AO164" s="59"/>
      <c r="AP164" s="55"/>
      <c r="AQ164" s="55"/>
      <c r="AR164" s="55"/>
      <c r="AS164" s="55"/>
    </row>
    <row r="165" spans="30:45" x14ac:dyDescent="0.25">
      <c r="AD165" s="55"/>
      <c r="AE165" s="55"/>
      <c r="AF165" s="55"/>
      <c r="AG165" s="55"/>
      <c r="AH165" s="55"/>
      <c r="AI165" s="55"/>
      <c r="AJ165" s="55"/>
      <c r="AK165" s="53"/>
      <c r="AL165" s="55"/>
      <c r="AM165" s="55"/>
      <c r="AN165" s="55"/>
      <c r="AO165" s="59"/>
      <c r="AP165" s="55"/>
      <c r="AQ165" s="55"/>
      <c r="AR165" s="55"/>
      <c r="AS165" s="55"/>
    </row>
    <row r="166" spans="30:45" x14ac:dyDescent="0.25">
      <c r="AD166" s="55"/>
      <c r="AE166" s="55"/>
      <c r="AF166" s="55"/>
      <c r="AG166" s="55"/>
      <c r="AH166" s="55"/>
      <c r="AI166" s="55"/>
      <c r="AJ166" s="55"/>
      <c r="AK166" s="53"/>
      <c r="AL166" s="55"/>
      <c r="AM166" s="59"/>
      <c r="AN166" s="55"/>
      <c r="AO166" s="55"/>
      <c r="AP166" s="55"/>
      <c r="AQ166" s="55"/>
      <c r="AR166" s="55"/>
      <c r="AS166" s="55"/>
    </row>
    <row r="167" spans="30:45" x14ac:dyDescent="0.25">
      <c r="AD167" s="55"/>
      <c r="AE167" s="55"/>
      <c r="AF167" s="55"/>
      <c r="AG167" s="55"/>
      <c r="AH167" s="55"/>
      <c r="AI167" s="55"/>
      <c r="AJ167" s="55"/>
      <c r="AK167" s="53"/>
      <c r="AL167" s="55"/>
      <c r="AM167" s="59"/>
      <c r="AN167" s="55"/>
      <c r="AO167" s="55"/>
      <c r="AP167" s="55"/>
      <c r="AQ167" s="55"/>
      <c r="AR167" s="55"/>
      <c r="AS167" s="55"/>
    </row>
    <row r="168" spans="30:45" x14ac:dyDescent="0.25">
      <c r="AD168" s="55"/>
      <c r="AE168" s="55"/>
      <c r="AF168" s="55"/>
      <c r="AG168" s="55"/>
      <c r="AH168" s="55"/>
      <c r="AI168" s="55"/>
      <c r="AJ168" s="55"/>
      <c r="AK168" s="53"/>
      <c r="AL168" s="55"/>
      <c r="AM168" s="59"/>
      <c r="AN168" s="55"/>
      <c r="AO168" s="55"/>
      <c r="AP168" s="56"/>
      <c r="AQ168" s="56"/>
      <c r="AR168" s="55"/>
      <c r="AS168" s="55"/>
    </row>
    <row r="169" spans="30:45" x14ac:dyDescent="0.25">
      <c r="AD169" s="55"/>
      <c r="AE169" s="55"/>
      <c r="AF169" s="55"/>
      <c r="AG169" s="55"/>
      <c r="AH169" s="57"/>
      <c r="AI169" s="55"/>
      <c r="AJ169" s="55"/>
      <c r="AK169" s="53"/>
      <c r="AL169" s="55"/>
      <c r="AM169" s="59"/>
      <c r="AN169" s="55"/>
      <c r="AO169" s="55"/>
      <c r="AP169" s="55"/>
      <c r="AQ169" s="56"/>
      <c r="AR169" s="55"/>
      <c r="AS169" s="59"/>
    </row>
    <row r="170" spans="30:45" x14ac:dyDescent="0.25">
      <c r="AD170" s="55"/>
      <c r="AE170" s="55"/>
      <c r="AF170" s="55"/>
      <c r="AG170" s="55"/>
      <c r="AH170" s="57"/>
      <c r="AI170" s="55"/>
      <c r="AJ170" s="55"/>
      <c r="AK170" s="53"/>
      <c r="AL170" s="55"/>
      <c r="AM170" s="55"/>
      <c r="AN170" s="55"/>
      <c r="AO170" s="55"/>
      <c r="AP170" s="55"/>
      <c r="AQ170" s="56"/>
      <c r="AR170" s="55"/>
      <c r="AS170" s="59"/>
    </row>
    <row r="171" spans="30:45" x14ac:dyDescent="0.25">
      <c r="AD171" s="57"/>
      <c r="AE171" s="55"/>
      <c r="AF171" s="55"/>
      <c r="AG171" s="55"/>
      <c r="AH171" s="57"/>
      <c r="AI171" s="55"/>
      <c r="AJ171" s="55"/>
      <c r="AK171" s="53"/>
      <c r="AL171" s="55"/>
      <c r="AM171" s="55"/>
      <c r="AN171" s="55"/>
      <c r="AO171" s="59"/>
      <c r="AP171" s="55"/>
      <c r="AQ171" s="56"/>
      <c r="AR171" s="55"/>
      <c r="AS171" s="55"/>
    </row>
    <row r="172" spans="30:45" x14ac:dyDescent="0.25">
      <c r="AD172" s="55"/>
      <c r="AE172" s="55"/>
      <c r="AF172" s="55"/>
      <c r="AG172" s="55"/>
      <c r="AH172" s="57"/>
      <c r="AI172" s="55"/>
      <c r="AJ172" s="55"/>
      <c r="AK172" s="53"/>
      <c r="AL172" s="55"/>
      <c r="AM172" s="55"/>
      <c r="AN172" s="55"/>
      <c r="AO172" s="59"/>
      <c r="AP172" s="55"/>
      <c r="AQ172" s="56"/>
      <c r="AR172" s="55"/>
      <c r="AS172" s="55"/>
    </row>
    <row r="173" spans="30:45" x14ac:dyDescent="0.25">
      <c r="AD173" s="55"/>
      <c r="AE173" s="55"/>
      <c r="AF173" s="55"/>
      <c r="AG173" s="55"/>
      <c r="AH173" s="55"/>
      <c r="AI173" s="55"/>
      <c r="AJ173" s="55"/>
      <c r="AK173" s="53"/>
      <c r="AL173" s="55"/>
      <c r="AM173" s="55"/>
      <c r="AN173" s="55"/>
      <c r="AO173" s="59"/>
      <c r="AP173" s="55"/>
      <c r="AQ173" s="55"/>
      <c r="AR173" s="55"/>
      <c r="AS173" s="55"/>
    </row>
    <row r="174" spans="30:45" x14ac:dyDescent="0.25">
      <c r="AD174" s="55"/>
      <c r="AE174" s="55"/>
      <c r="AF174" s="55"/>
      <c r="AG174" s="55"/>
      <c r="AH174" s="55"/>
      <c r="AI174" s="55"/>
      <c r="AJ174" s="55"/>
      <c r="AK174" s="53"/>
      <c r="AL174" s="55"/>
      <c r="AM174" s="55"/>
      <c r="AN174" s="55"/>
      <c r="AO174" s="59"/>
      <c r="AP174" s="55"/>
      <c r="AQ174" s="55"/>
      <c r="AR174" s="55"/>
      <c r="AS174" s="55"/>
    </row>
    <row r="175" spans="30:45" x14ac:dyDescent="0.25">
      <c r="AD175" s="55"/>
      <c r="AE175" s="57"/>
      <c r="AF175" s="57"/>
      <c r="AG175" s="55"/>
      <c r="AH175" s="55"/>
      <c r="AI175" s="55"/>
      <c r="AJ175" s="55"/>
      <c r="AK175" s="53"/>
      <c r="AL175" s="55"/>
      <c r="AM175" s="59"/>
      <c r="AN175" s="55"/>
      <c r="AO175" s="56"/>
      <c r="AP175" s="55"/>
      <c r="AQ175" s="55"/>
      <c r="AR175" s="55"/>
      <c r="AS175" s="55"/>
    </row>
    <row r="176" spans="30:45" x14ac:dyDescent="0.25">
      <c r="AD176" s="55"/>
      <c r="AE176" s="55"/>
      <c r="AF176" s="55"/>
      <c r="AG176" s="55"/>
      <c r="AH176" s="55"/>
      <c r="AI176" s="55"/>
      <c r="AJ176" s="55"/>
      <c r="AK176" s="53"/>
      <c r="AL176" s="55"/>
      <c r="AM176" s="59"/>
      <c r="AN176" s="55"/>
      <c r="AO176" s="56"/>
      <c r="AP176" s="55"/>
      <c r="AQ176" s="55"/>
      <c r="AR176" s="55"/>
      <c r="AS176" s="55"/>
    </row>
    <row r="177" spans="30:45" x14ac:dyDescent="0.25">
      <c r="AD177" s="55"/>
      <c r="AE177" s="55"/>
      <c r="AF177" s="55"/>
      <c r="AG177" s="55"/>
      <c r="AH177" s="55"/>
      <c r="AI177" s="55"/>
      <c r="AJ177" s="55"/>
      <c r="AK177" s="53"/>
      <c r="AL177" s="55"/>
      <c r="AM177" s="59"/>
      <c r="AN177" s="55"/>
      <c r="AO177" s="56"/>
      <c r="AP177" s="55"/>
      <c r="AQ177" s="55"/>
      <c r="AR177" s="55"/>
      <c r="AS177" s="55"/>
    </row>
    <row r="178" spans="30:45" x14ac:dyDescent="0.25">
      <c r="AD178" s="55"/>
      <c r="AE178" s="55"/>
      <c r="AF178" s="55"/>
      <c r="AG178" s="55"/>
      <c r="AH178" s="55"/>
      <c r="AI178" s="55"/>
      <c r="AJ178" s="55"/>
      <c r="AK178" s="53"/>
      <c r="AL178" s="55"/>
      <c r="AM178" s="59"/>
      <c r="AN178" s="55"/>
      <c r="AO178" s="56"/>
      <c r="AP178" s="55"/>
      <c r="AQ178" s="55"/>
      <c r="AR178" s="55"/>
      <c r="AS178" s="55"/>
    </row>
    <row r="179" spans="30:45" x14ac:dyDescent="0.25">
      <c r="AD179" s="55"/>
      <c r="AE179" s="55"/>
      <c r="AF179" s="55"/>
      <c r="AG179" s="55"/>
      <c r="AH179" s="57"/>
      <c r="AI179" s="55"/>
      <c r="AJ179" s="55"/>
      <c r="AK179" s="53"/>
      <c r="AL179" s="55"/>
      <c r="AM179" s="59"/>
      <c r="AN179" s="55"/>
      <c r="AO179" s="59"/>
      <c r="AP179" s="55"/>
      <c r="AQ179" s="55"/>
      <c r="AR179" s="55"/>
      <c r="AS179" s="55"/>
    </row>
    <row r="180" spans="30:45" x14ac:dyDescent="0.25">
      <c r="AD180" s="55"/>
      <c r="AE180" s="55"/>
      <c r="AF180" s="55"/>
      <c r="AG180" s="55"/>
      <c r="AH180" s="57"/>
      <c r="AI180" s="55"/>
      <c r="AJ180" s="55"/>
      <c r="AK180" s="53"/>
      <c r="AL180" s="55"/>
      <c r="AM180" s="59"/>
      <c r="AN180" s="55"/>
      <c r="AO180" s="59"/>
      <c r="AP180" s="55"/>
      <c r="AQ180" s="55"/>
      <c r="AR180" s="55"/>
      <c r="AS180" s="55"/>
    </row>
    <row r="181" spans="30:45" x14ac:dyDescent="0.25">
      <c r="AD181" s="57"/>
      <c r="AE181" s="55"/>
      <c r="AF181" s="55"/>
      <c r="AG181" s="55"/>
      <c r="AH181" s="57"/>
      <c r="AI181" s="55"/>
      <c r="AJ181" s="55"/>
      <c r="AK181" s="53"/>
      <c r="AL181" s="55"/>
      <c r="AM181" s="59"/>
      <c r="AN181" s="55"/>
      <c r="AO181" s="59"/>
      <c r="AP181" s="56"/>
      <c r="AQ181" s="56"/>
      <c r="AR181" s="58"/>
      <c r="AS181" s="58"/>
    </row>
    <row r="182" spans="30:45" x14ac:dyDescent="0.25">
      <c r="AD182" s="55"/>
      <c r="AE182" s="55"/>
      <c r="AF182" s="55"/>
      <c r="AG182" s="55"/>
      <c r="AH182" s="57"/>
      <c r="AI182" s="55"/>
      <c r="AJ182" s="55"/>
      <c r="AK182" s="53"/>
      <c r="AL182" s="55"/>
      <c r="AM182" s="59"/>
      <c r="AN182" s="55"/>
      <c r="AO182" s="59"/>
      <c r="AP182" s="55"/>
      <c r="AQ182" s="56"/>
      <c r="AR182" s="55"/>
      <c r="AS182" s="55"/>
    </row>
    <row r="183" spans="30:45" x14ac:dyDescent="0.25">
      <c r="AD183" s="57"/>
      <c r="AE183" s="57"/>
      <c r="AF183" s="57"/>
      <c r="AG183" s="55"/>
      <c r="AH183" s="55"/>
      <c r="AI183" s="55"/>
      <c r="AJ183" s="55"/>
      <c r="AK183" s="53"/>
      <c r="AL183" s="56"/>
      <c r="AM183" s="56"/>
      <c r="AN183" s="56"/>
      <c r="AO183" s="56"/>
      <c r="AP183" s="55"/>
      <c r="AQ183" s="56"/>
      <c r="AR183" s="55"/>
      <c r="AS183" s="55"/>
    </row>
    <row r="184" spans="30:45" x14ac:dyDescent="0.25">
      <c r="AD184" s="55"/>
      <c r="AE184" s="55"/>
      <c r="AF184" s="55"/>
      <c r="AG184" s="55"/>
      <c r="AH184" s="55"/>
      <c r="AI184" s="55"/>
      <c r="AJ184" s="55"/>
      <c r="AK184" s="53"/>
      <c r="AL184" s="55"/>
      <c r="AM184" s="59"/>
      <c r="AN184" s="55"/>
      <c r="AO184" s="56"/>
      <c r="AP184" s="55"/>
      <c r="AQ184" s="56"/>
      <c r="AR184" s="55"/>
      <c r="AS184" s="55"/>
    </row>
    <row r="185" spans="30:45" x14ac:dyDescent="0.25">
      <c r="AD185" s="55"/>
      <c r="AE185" s="57"/>
      <c r="AF185" s="57"/>
      <c r="AG185" s="55"/>
      <c r="AH185" s="57"/>
      <c r="AI185" s="55"/>
      <c r="AJ185" s="55"/>
      <c r="AK185" s="53"/>
      <c r="AL185" s="55"/>
      <c r="AM185" s="59"/>
      <c r="AN185" s="55"/>
      <c r="AO185" s="56"/>
      <c r="AP185" s="55"/>
      <c r="AQ185" s="56"/>
      <c r="AR185" s="55"/>
      <c r="AS185" s="55"/>
    </row>
    <row r="186" spans="30:45" x14ac:dyDescent="0.25">
      <c r="AD186" s="55"/>
      <c r="AE186" s="55"/>
      <c r="AF186" s="55"/>
      <c r="AG186" s="55"/>
      <c r="AH186" s="57"/>
      <c r="AI186" s="55"/>
      <c r="AJ186" s="55"/>
      <c r="AK186" s="53"/>
      <c r="AL186" s="55"/>
      <c r="AM186" s="59"/>
      <c r="AN186" s="55"/>
      <c r="AO186" s="56"/>
      <c r="AP186" s="55"/>
      <c r="AQ186" s="59"/>
      <c r="AR186" s="55"/>
      <c r="AS186" s="55"/>
    </row>
    <row r="187" spans="30:45" x14ac:dyDescent="0.25">
      <c r="AD187" s="55"/>
      <c r="AE187" s="55"/>
      <c r="AF187" s="55"/>
      <c r="AG187" s="55"/>
      <c r="AH187" s="57"/>
      <c r="AI187" s="55"/>
      <c r="AJ187" s="55"/>
      <c r="AK187" s="53"/>
      <c r="AL187" s="55"/>
      <c r="AM187" s="59"/>
      <c r="AN187" s="55"/>
      <c r="AO187" s="56"/>
      <c r="AP187" s="55"/>
      <c r="AQ187" s="59"/>
      <c r="AR187" s="55"/>
      <c r="AS187" s="55"/>
    </row>
    <row r="188" spans="30:45" x14ac:dyDescent="0.25">
      <c r="AD188" s="55"/>
      <c r="AE188" s="55"/>
      <c r="AF188" s="55"/>
      <c r="AG188" s="55"/>
      <c r="AH188" s="57"/>
      <c r="AI188" s="57"/>
      <c r="AJ188" s="57"/>
      <c r="AK188" s="53"/>
      <c r="AL188" s="55"/>
      <c r="AM188" s="55"/>
      <c r="AN188" s="55"/>
      <c r="AO188" s="56"/>
      <c r="AP188" s="55"/>
      <c r="AQ188" s="59"/>
      <c r="AR188" s="56"/>
      <c r="AS188" s="56"/>
    </row>
    <row r="189" spans="30:45" x14ac:dyDescent="0.25">
      <c r="AD189" s="55"/>
      <c r="AE189" s="55"/>
      <c r="AF189" s="55"/>
      <c r="AG189" s="55"/>
      <c r="AH189" s="57"/>
      <c r="AI189" s="55"/>
      <c r="AJ189" s="55"/>
      <c r="AK189" s="53"/>
      <c r="AL189" s="55"/>
      <c r="AM189" s="56"/>
      <c r="AN189" s="55"/>
      <c r="AO189" s="56"/>
      <c r="AP189" s="55"/>
      <c r="AQ189" s="59"/>
      <c r="AR189" s="55"/>
      <c r="AS189" s="56"/>
    </row>
    <row r="190" spans="30:45" x14ac:dyDescent="0.25">
      <c r="AD190" s="57"/>
      <c r="AE190" s="55"/>
      <c r="AF190" s="55"/>
      <c r="AG190" s="55"/>
      <c r="AH190" s="57"/>
      <c r="AI190" s="57"/>
      <c r="AJ190" s="57"/>
      <c r="AK190" s="53"/>
      <c r="AL190" s="55"/>
      <c r="AM190" s="56"/>
      <c r="AN190" s="55"/>
      <c r="AO190" s="56"/>
      <c r="AP190" s="55"/>
      <c r="AQ190" s="55"/>
      <c r="AR190" s="55"/>
      <c r="AS190" s="56"/>
    </row>
    <row r="191" spans="30:45" x14ac:dyDescent="0.25">
      <c r="AD191" s="55"/>
      <c r="AE191" s="53"/>
      <c r="AF191" s="53"/>
      <c r="AG191" s="55"/>
      <c r="AH191" s="57"/>
      <c r="AI191" s="55"/>
      <c r="AJ191" s="55"/>
      <c r="AK191" s="53"/>
      <c r="AL191" s="55"/>
      <c r="AM191" s="56"/>
      <c r="AN191" s="55"/>
      <c r="AO191" s="56"/>
      <c r="AP191" s="55"/>
      <c r="AQ191" s="55"/>
      <c r="AR191" s="55"/>
      <c r="AS191" s="56"/>
    </row>
    <row r="192" spans="30:45" x14ac:dyDescent="0.25">
      <c r="AD192" s="57"/>
      <c r="AE192" s="53"/>
      <c r="AF192" s="53"/>
      <c r="AG192" s="55"/>
      <c r="AH192" s="57"/>
      <c r="AI192" s="55"/>
      <c r="AJ192" s="55"/>
      <c r="AK192" s="53"/>
      <c r="AL192" s="55"/>
      <c r="AM192" s="56"/>
      <c r="AN192" s="55"/>
      <c r="AO192" s="59"/>
      <c r="AP192" s="55"/>
      <c r="AQ192" s="55"/>
      <c r="AR192" s="55"/>
      <c r="AS192" s="56"/>
    </row>
    <row r="193" spans="30:45" x14ac:dyDescent="0.25">
      <c r="AD193" s="55"/>
      <c r="AE193" s="53"/>
      <c r="AF193" s="53"/>
      <c r="AG193" s="55"/>
      <c r="AH193" s="55"/>
      <c r="AI193" s="55"/>
      <c r="AJ193" s="55"/>
      <c r="AK193" s="53"/>
      <c r="AL193" s="55"/>
      <c r="AM193" s="56"/>
      <c r="AN193" s="55"/>
      <c r="AO193" s="59"/>
      <c r="AP193" s="55"/>
      <c r="AQ193" s="55"/>
      <c r="AR193" s="55"/>
      <c r="AS193" s="55"/>
    </row>
    <row r="194" spans="30:45" x14ac:dyDescent="0.25">
      <c r="AD194" s="55"/>
      <c r="AE194" s="53"/>
      <c r="AF194" s="53"/>
      <c r="AG194" s="55"/>
      <c r="AH194" s="55"/>
      <c r="AI194" s="55"/>
      <c r="AJ194" s="55"/>
      <c r="AK194" s="53"/>
      <c r="AL194" s="55"/>
      <c r="AM194" s="56"/>
      <c r="AN194" s="55"/>
      <c r="AO194" s="59"/>
      <c r="AP194" s="55"/>
      <c r="AQ194" s="55"/>
      <c r="AR194" s="55"/>
      <c r="AS194" s="55"/>
    </row>
    <row r="195" spans="30:45" x14ac:dyDescent="0.25">
      <c r="AD195" s="55"/>
      <c r="AE195" s="53"/>
      <c r="AF195" s="53"/>
      <c r="AG195" s="55"/>
      <c r="AH195" s="55"/>
      <c r="AI195" s="55"/>
      <c r="AJ195" s="57"/>
      <c r="AK195" s="53"/>
      <c r="AL195" s="55"/>
      <c r="AM195" s="56"/>
      <c r="AN195" s="55"/>
      <c r="AO195" s="59"/>
      <c r="AP195" s="55"/>
      <c r="AQ195" s="55"/>
      <c r="AR195" s="55"/>
      <c r="AS195" s="55"/>
    </row>
    <row r="196" spans="30:45" x14ac:dyDescent="0.25">
      <c r="AD196" s="55"/>
      <c r="AE196" s="53"/>
      <c r="AF196" s="53"/>
      <c r="AG196" s="55"/>
      <c r="AH196" s="55"/>
      <c r="AI196" s="55"/>
      <c r="AJ196" s="57"/>
      <c r="AK196" s="53"/>
      <c r="AL196" s="55"/>
      <c r="AM196" s="56"/>
      <c r="AN196" s="56"/>
      <c r="AO196" s="56"/>
      <c r="AP196" s="55"/>
      <c r="AQ196" s="55"/>
      <c r="AR196" s="55"/>
      <c r="AS196" s="55"/>
    </row>
    <row r="197" spans="30:45" x14ac:dyDescent="0.25">
      <c r="AD197" s="55"/>
      <c r="AE197" s="53"/>
      <c r="AF197" s="53"/>
      <c r="AG197" s="57"/>
      <c r="AH197" s="57"/>
      <c r="AI197" s="55"/>
      <c r="AJ197" s="57"/>
      <c r="AK197" s="53"/>
      <c r="AL197" s="55"/>
      <c r="AM197" s="59"/>
      <c r="AN197" s="55"/>
      <c r="AO197" s="59"/>
      <c r="AP197" s="55"/>
      <c r="AQ197" s="55"/>
      <c r="AR197" s="55"/>
      <c r="AS197" s="55"/>
    </row>
    <row r="198" spans="30:45" x14ac:dyDescent="0.25">
      <c r="AD198" s="55"/>
      <c r="AE198" s="53"/>
      <c r="AF198" s="53"/>
      <c r="AG198" s="55"/>
      <c r="AH198" s="55"/>
      <c r="AI198" s="55"/>
      <c r="AJ198" s="57"/>
      <c r="AK198" s="53"/>
      <c r="AL198" s="55"/>
      <c r="AM198" s="59"/>
      <c r="AN198" s="55"/>
      <c r="AO198" s="59"/>
      <c r="AP198" s="55"/>
      <c r="AQ198" s="55"/>
      <c r="AR198" s="55"/>
      <c r="AS198" s="55"/>
    </row>
    <row r="199" spans="30:45" x14ac:dyDescent="0.25">
      <c r="AD199" s="55"/>
      <c r="AE199" s="53"/>
      <c r="AF199" s="53"/>
      <c r="AG199" s="55"/>
      <c r="AH199" s="55"/>
      <c r="AI199" s="55"/>
      <c r="AJ199" s="55"/>
      <c r="AK199" s="53"/>
      <c r="AL199" s="55"/>
      <c r="AM199" s="59"/>
      <c r="AN199" s="55"/>
      <c r="AO199" s="59"/>
      <c r="AP199" s="55"/>
      <c r="AQ199" s="59"/>
      <c r="AR199" s="55"/>
      <c r="AS199" s="55"/>
    </row>
    <row r="200" spans="30:45" x14ac:dyDescent="0.25">
      <c r="AD200" s="55"/>
      <c r="AE200" s="53"/>
      <c r="AF200" s="53"/>
      <c r="AG200" s="55"/>
      <c r="AH200" s="55"/>
      <c r="AI200" s="55"/>
      <c r="AJ200" s="55"/>
      <c r="AK200" s="53"/>
      <c r="AL200" s="55"/>
      <c r="AM200" s="59"/>
      <c r="AN200" s="55"/>
      <c r="AO200" s="59"/>
      <c r="AP200" s="55"/>
      <c r="AQ200" s="59"/>
      <c r="AR200" s="55"/>
      <c r="AS200" s="55"/>
    </row>
    <row r="201" spans="30:45" x14ac:dyDescent="0.25">
      <c r="AD201" s="55"/>
      <c r="AE201" s="53"/>
      <c r="AF201" s="53"/>
      <c r="AG201" s="55"/>
      <c r="AH201" s="55"/>
      <c r="AI201" s="55"/>
      <c r="AJ201" s="55"/>
      <c r="AK201" s="53"/>
      <c r="AL201" s="55"/>
      <c r="AM201" s="59"/>
      <c r="AN201" s="55"/>
      <c r="AO201" s="55"/>
      <c r="AP201" s="55"/>
      <c r="AQ201" s="59"/>
      <c r="AR201" s="56"/>
      <c r="AS201" s="56"/>
    </row>
    <row r="202" spans="30:45" x14ac:dyDescent="0.25">
      <c r="AD202" s="53"/>
      <c r="AE202" s="53"/>
      <c r="AF202" s="53"/>
      <c r="AG202" s="55"/>
      <c r="AH202" s="55"/>
      <c r="AI202" s="55"/>
      <c r="AJ202" s="55"/>
      <c r="AK202" s="53"/>
      <c r="AL202" s="55"/>
      <c r="AM202" s="59"/>
      <c r="AN202" s="55"/>
      <c r="AO202" s="59"/>
      <c r="AP202" s="55"/>
      <c r="AQ202" s="59"/>
      <c r="AR202" s="55"/>
      <c r="AS202" s="56"/>
    </row>
    <row r="203" spans="30:45" x14ac:dyDescent="0.25">
      <c r="AD203" s="53"/>
      <c r="AE203" s="53"/>
      <c r="AF203" s="53"/>
      <c r="AG203" s="55"/>
      <c r="AH203" s="55"/>
      <c r="AI203" s="55"/>
      <c r="AJ203" s="55"/>
      <c r="AK203" s="53"/>
      <c r="AL203" s="55"/>
      <c r="AM203" s="59"/>
      <c r="AN203" s="55"/>
      <c r="AO203" s="59"/>
      <c r="AP203" s="55"/>
      <c r="AQ203" s="56"/>
      <c r="AR203" s="55"/>
      <c r="AS203" s="56"/>
    </row>
    <row r="204" spans="30:45" x14ac:dyDescent="0.25">
      <c r="AD204" s="53"/>
      <c r="AE204" s="53"/>
      <c r="AF204" s="53"/>
      <c r="AG204" s="55"/>
      <c r="AH204" s="55"/>
      <c r="AI204" s="55"/>
      <c r="AJ204" s="55"/>
      <c r="AK204" s="53"/>
      <c r="AL204" s="55"/>
      <c r="AM204" s="59"/>
      <c r="AN204" s="55"/>
      <c r="AO204" s="59"/>
      <c r="AP204" s="55"/>
      <c r="AQ204" s="56"/>
      <c r="AR204" s="55"/>
      <c r="AS204" s="56"/>
    </row>
    <row r="205" spans="30:45" x14ac:dyDescent="0.25">
      <c r="AD205" s="53"/>
      <c r="AE205" s="53"/>
      <c r="AF205" s="53"/>
      <c r="AG205" s="55"/>
      <c r="AH205" s="55"/>
      <c r="AI205" s="55"/>
      <c r="AJ205" s="55"/>
      <c r="AK205" s="53"/>
      <c r="AL205" s="56"/>
      <c r="AM205" s="56"/>
      <c r="AN205" s="55"/>
      <c r="AO205" s="59"/>
      <c r="AP205" s="55"/>
      <c r="AQ205" s="56"/>
      <c r="AR205" s="55"/>
      <c r="AS205" s="56"/>
    </row>
    <row r="206" spans="30:45" x14ac:dyDescent="0.25">
      <c r="AD206" s="53"/>
      <c r="AE206" s="53"/>
      <c r="AF206" s="53"/>
      <c r="AG206" s="55"/>
      <c r="AH206" s="55"/>
      <c r="AI206" s="55"/>
      <c r="AJ206" s="55"/>
      <c r="AK206" s="53"/>
      <c r="AL206" s="55"/>
      <c r="AM206" s="55"/>
      <c r="AN206" s="55"/>
      <c r="AO206" s="59"/>
      <c r="AP206" s="55"/>
      <c r="AQ206" s="56"/>
      <c r="AR206" s="55"/>
      <c r="AS206" s="55"/>
    </row>
    <row r="207" spans="30:45" x14ac:dyDescent="0.25">
      <c r="AD207" s="53"/>
      <c r="AE207" s="53"/>
      <c r="AF207" s="53"/>
      <c r="AG207" s="55"/>
      <c r="AH207" s="55"/>
      <c r="AI207" s="55"/>
      <c r="AJ207" s="55"/>
      <c r="AK207" s="53"/>
      <c r="AL207" s="55"/>
      <c r="AM207" s="59"/>
      <c r="AN207" s="55"/>
      <c r="AO207" s="59"/>
      <c r="AP207" s="55"/>
      <c r="AQ207" s="59"/>
      <c r="AR207" s="55"/>
      <c r="AS207" s="59"/>
    </row>
    <row r="208" spans="30:45" x14ac:dyDescent="0.25">
      <c r="AD208" s="53"/>
      <c r="AE208" s="53"/>
      <c r="AF208" s="53"/>
      <c r="AG208" s="55"/>
      <c r="AH208" s="55"/>
      <c r="AI208" s="55"/>
      <c r="AJ208" s="55"/>
      <c r="AK208" s="53"/>
      <c r="AL208" s="55"/>
      <c r="AM208" s="59"/>
      <c r="AN208" s="55"/>
      <c r="AO208" s="59"/>
      <c r="AP208" s="55"/>
      <c r="AQ208" s="59"/>
      <c r="AR208" s="55"/>
      <c r="AS208" s="59"/>
    </row>
    <row r="209" spans="30:45" x14ac:dyDescent="0.25">
      <c r="AD209" s="53"/>
      <c r="AE209" s="53"/>
      <c r="AF209" s="53"/>
      <c r="AG209" s="55"/>
      <c r="AH209" s="55"/>
      <c r="AI209" s="55"/>
      <c r="AJ209" s="55"/>
      <c r="AK209" s="53"/>
      <c r="AL209" s="55"/>
      <c r="AM209" s="59"/>
      <c r="AN209" s="55"/>
      <c r="AO209" s="59"/>
      <c r="AP209" s="55"/>
      <c r="AQ209" s="59"/>
      <c r="AR209" s="55"/>
      <c r="AS209" s="59"/>
    </row>
    <row r="210" spans="30:45" x14ac:dyDescent="0.25">
      <c r="AD210" s="53"/>
      <c r="AE210" s="53"/>
      <c r="AF210" s="53"/>
      <c r="AG210" s="55"/>
      <c r="AH210" s="55"/>
      <c r="AI210" s="55"/>
      <c r="AJ210" s="55"/>
      <c r="AK210" s="53"/>
      <c r="AL210" s="55"/>
      <c r="AM210" s="59"/>
      <c r="AN210" s="55"/>
      <c r="AO210" s="55"/>
      <c r="AP210" s="55"/>
      <c r="AQ210" s="59"/>
      <c r="AR210" s="55"/>
      <c r="AS210" s="59"/>
    </row>
    <row r="211" spans="30:45" x14ac:dyDescent="0.25">
      <c r="AD211" s="53"/>
      <c r="AE211" s="53"/>
      <c r="AF211" s="53"/>
      <c r="AG211" s="55"/>
      <c r="AH211" s="57"/>
      <c r="AI211" s="55"/>
      <c r="AJ211" s="57"/>
      <c r="AK211" s="53"/>
      <c r="AL211" s="55"/>
      <c r="AM211" s="55"/>
      <c r="AN211" s="55"/>
      <c r="AO211" s="55"/>
      <c r="AP211" s="56"/>
      <c r="AQ211" s="56"/>
      <c r="AR211" s="55"/>
      <c r="AS211" s="55"/>
    </row>
    <row r="212" spans="30:45" x14ac:dyDescent="0.25">
      <c r="AD212" s="53"/>
      <c r="AE212" s="53"/>
      <c r="AF212" s="53"/>
      <c r="AG212" s="55"/>
      <c r="AH212" s="57"/>
      <c r="AI212" s="55"/>
      <c r="AJ212" s="57"/>
      <c r="AK212" s="53"/>
      <c r="AL212" s="55"/>
      <c r="AM212" s="55"/>
      <c r="AN212" s="55"/>
      <c r="AO212" s="59"/>
      <c r="AP212" s="55"/>
      <c r="AQ212" s="55"/>
      <c r="AR212" s="55"/>
      <c r="AS212" s="55"/>
    </row>
    <row r="213" spans="30:45" x14ac:dyDescent="0.25">
      <c r="AD213" s="53"/>
      <c r="AE213" s="53"/>
      <c r="AF213" s="53"/>
      <c r="AG213" s="55"/>
      <c r="AH213" s="57"/>
      <c r="AI213" s="55"/>
      <c r="AJ213" s="57"/>
      <c r="AK213" s="53"/>
      <c r="AL213" s="55"/>
      <c r="AM213" s="59"/>
      <c r="AN213" s="55"/>
      <c r="AO213" s="59"/>
      <c r="AP213" s="55"/>
      <c r="AQ213" s="56"/>
      <c r="AR213" s="55"/>
      <c r="AS213" s="55"/>
    </row>
    <row r="214" spans="30:45" x14ac:dyDescent="0.25">
      <c r="AD214" s="53"/>
      <c r="AE214" s="53"/>
      <c r="AF214" s="53"/>
      <c r="AG214" s="55"/>
      <c r="AH214" s="57"/>
      <c r="AI214" s="55"/>
      <c r="AJ214" s="57"/>
      <c r="AK214" s="53"/>
      <c r="AL214" s="55"/>
      <c r="AM214" s="59"/>
      <c r="AN214" s="55"/>
      <c r="AO214" s="59"/>
      <c r="AP214" s="55"/>
      <c r="AQ214" s="56"/>
      <c r="AR214" s="55"/>
      <c r="AS214" s="55"/>
    </row>
    <row r="215" spans="30:45" x14ac:dyDescent="0.25">
      <c r="AD215" s="53"/>
      <c r="AE215" s="53"/>
      <c r="AF215" s="53"/>
      <c r="AG215" s="55"/>
      <c r="AH215" s="57"/>
      <c r="AI215" s="55"/>
      <c r="AJ215" s="55"/>
      <c r="AK215" s="53"/>
      <c r="AL215" s="55"/>
      <c r="AM215" s="59"/>
      <c r="AN215" s="55"/>
      <c r="AO215" s="59"/>
      <c r="AP215" s="55"/>
      <c r="AQ215" s="56"/>
      <c r="AR215" s="55"/>
      <c r="AS215" s="55"/>
    </row>
    <row r="216" spans="30:45" x14ac:dyDescent="0.25">
      <c r="AD216" s="53"/>
      <c r="AE216" s="53"/>
      <c r="AF216" s="53"/>
      <c r="AG216" s="55"/>
      <c r="AH216" s="57"/>
      <c r="AI216" s="55"/>
      <c r="AJ216" s="55"/>
      <c r="AK216" s="53"/>
      <c r="AL216" s="55"/>
      <c r="AM216" s="59"/>
      <c r="AN216" s="55"/>
      <c r="AO216" s="55"/>
      <c r="AP216" s="55"/>
      <c r="AQ216" s="56"/>
      <c r="AR216" s="55"/>
      <c r="AS216" s="55"/>
    </row>
    <row r="217" spans="30:45" x14ac:dyDescent="0.25">
      <c r="AD217" s="53"/>
      <c r="AE217" s="53"/>
      <c r="AF217" s="53"/>
      <c r="AG217" s="57"/>
      <c r="AH217" s="57"/>
      <c r="AI217" s="55"/>
      <c r="AJ217" s="55"/>
      <c r="AK217" s="53"/>
      <c r="AL217" s="55"/>
      <c r="AM217" s="59"/>
      <c r="AN217" s="55"/>
      <c r="AO217" s="56"/>
      <c r="AP217" s="55"/>
      <c r="AQ217" s="56"/>
      <c r="AR217" s="55"/>
      <c r="AS217" s="55"/>
    </row>
    <row r="218" spans="30:45" x14ac:dyDescent="0.25">
      <c r="AD218" s="53"/>
      <c r="AE218" s="53"/>
      <c r="AF218" s="53"/>
      <c r="AG218" s="55"/>
      <c r="AH218" s="55"/>
      <c r="AI218" s="55"/>
      <c r="AJ218" s="57"/>
      <c r="AK218" s="53"/>
      <c r="AL218" s="55"/>
      <c r="AM218" s="59"/>
      <c r="AN218" s="55"/>
      <c r="AO218" s="56"/>
      <c r="AP218" s="55"/>
      <c r="AQ218" s="56"/>
      <c r="AR218" s="55"/>
      <c r="AS218" s="55"/>
    </row>
    <row r="219" spans="30:45" x14ac:dyDescent="0.25">
      <c r="AD219" s="53"/>
      <c r="AE219" s="53"/>
      <c r="AF219" s="53"/>
      <c r="AG219" s="55"/>
      <c r="AH219" s="55"/>
      <c r="AI219" s="55"/>
      <c r="AJ219" s="57"/>
      <c r="AK219" s="53"/>
      <c r="AL219" s="55"/>
      <c r="AM219" s="59"/>
      <c r="AN219" s="55"/>
      <c r="AO219" s="56"/>
      <c r="AP219" s="55"/>
      <c r="AQ219" s="56"/>
      <c r="AR219" s="55"/>
      <c r="AS219" s="55"/>
    </row>
    <row r="220" spans="30:45" x14ac:dyDescent="0.25">
      <c r="AD220" s="53"/>
      <c r="AE220" s="53"/>
      <c r="AF220" s="53"/>
      <c r="AG220" s="55"/>
      <c r="AH220" s="55"/>
      <c r="AI220" s="55"/>
      <c r="AJ220" s="57"/>
      <c r="AK220" s="53"/>
      <c r="AL220" s="55"/>
      <c r="AM220" s="59"/>
      <c r="AN220" s="55"/>
      <c r="AO220" s="56"/>
      <c r="AP220" s="55"/>
      <c r="AQ220" s="56"/>
      <c r="AR220" s="55"/>
      <c r="AS220" s="59"/>
    </row>
    <row r="221" spans="30:45" x14ac:dyDescent="0.25">
      <c r="AD221" s="53"/>
      <c r="AE221" s="53"/>
      <c r="AF221" s="53"/>
      <c r="AG221" s="55"/>
      <c r="AH221" s="55"/>
      <c r="AI221" s="55"/>
      <c r="AJ221" s="57"/>
      <c r="AK221" s="53"/>
      <c r="AL221" s="55"/>
      <c r="AM221" s="55"/>
      <c r="AN221" s="55"/>
      <c r="AO221" s="56"/>
      <c r="AP221" s="55"/>
      <c r="AQ221" s="59"/>
      <c r="AR221" s="55"/>
      <c r="AS221" s="59"/>
    </row>
    <row r="222" spans="30:45" x14ac:dyDescent="0.25">
      <c r="AD222" s="53"/>
      <c r="AE222" s="53"/>
      <c r="AF222" s="53"/>
      <c r="AG222" s="55"/>
      <c r="AH222" s="55"/>
      <c r="AI222" s="55"/>
      <c r="AJ222" s="57"/>
      <c r="AK222" s="53"/>
      <c r="AL222" s="55"/>
      <c r="AM222" s="55"/>
      <c r="AN222" s="55"/>
      <c r="AO222" s="56"/>
      <c r="AP222" s="55"/>
      <c r="AQ222" s="59"/>
      <c r="AR222" s="55"/>
      <c r="AS222" s="59"/>
    </row>
    <row r="223" spans="30:45" x14ac:dyDescent="0.25">
      <c r="AD223" s="53"/>
      <c r="AE223" s="53"/>
      <c r="AF223" s="53"/>
      <c r="AG223" s="55"/>
      <c r="AH223" s="55"/>
      <c r="AI223" s="55"/>
      <c r="AJ223" s="57"/>
      <c r="AK223" s="53"/>
      <c r="AL223" s="55"/>
      <c r="AM223" s="59"/>
      <c r="AN223" s="55"/>
      <c r="AO223" s="56"/>
      <c r="AP223" s="55"/>
      <c r="AQ223" s="59"/>
      <c r="AR223" s="55"/>
      <c r="AS223" s="59"/>
    </row>
    <row r="224" spans="30:45" x14ac:dyDescent="0.25">
      <c r="AD224" s="53"/>
      <c r="AE224" s="53"/>
      <c r="AF224" s="53"/>
      <c r="AG224" s="55"/>
      <c r="AH224" s="55"/>
      <c r="AI224" s="55"/>
      <c r="AJ224" s="57"/>
      <c r="AK224" s="53"/>
      <c r="AL224" s="55"/>
      <c r="AM224" s="59"/>
      <c r="AN224" s="55"/>
      <c r="AO224" s="56"/>
      <c r="AP224" s="55"/>
      <c r="AQ224" s="59"/>
      <c r="AR224" s="55"/>
      <c r="AS224" s="56"/>
    </row>
    <row r="225" spans="30:45" x14ac:dyDescent="0.25">
      <c r="AD225" s="53"/>
      <c r="AE225" s="53"/>
      <c r="AF225" s="53"/>
      <c r="AG225" s="57"/>
      <c r="AH225" s="57"/>
      <c r="AI225" s="55"/>
      <c r="AJ225" s="57"/>
      <c r="AK225" s="53"/>
      <c r="AL225" s="55"/>
      <c r="AM225" s="59"/>
      <c r="AN225" s="55"/>
      <c r="AO225" s="59"/>
      <c r="AP225" s="56"/>
      <c r="AQ225" s="56"/>
      <c r="AR225" s="55"/>
      <c r="AS225" s="56"/>
    </row>
    <row r="226" spans="30:45" x14ac:dyDescent="0.25">
      <c r="AD226" s="53"/>
      <c r="AE226" s="53"/>
      <c r="AF226" s="53"/>
      <c r="AG226" s="55"/>
      <c r="AH226" s="55"/>
      <c r="AI226" s="55"/>
      <c r="AJ226" s="55"/>
      <c r="AK226" s="53"/>
      <c r="AL226" s="55"/>
      <c r="AM226" s="59"/>
      <c r="AN226" s="55"/>
      <c r="AO226" s="59"/>
      <c r="AP226" s="55"/>
      <c r="AQ226" s="59"/>
      <c r="AR226" s="55"/>
      <c r="AS226" s="56"/>
    </row>
    <row r="227" spans="30:45" x14ac:dyDescent="0.25">
      <c r="AD227" s="53"/>
      <c r="AE227" s="53"/>
      <c r="AF227" s="53"/>
      <c r="AG227" s="55"/>
      <c r="AH227" s="55"/>
      <c r="AI227" s="55"/>
      <c r="AJ227" s="55"/>
      <c r="AK227" s="53"/>
      <c r="AL227" s="55"/>
      <c r="AM227" s="55"/>
      <c r="AN227" s="55"/>
      <c r="AO227" s="59"/>
      <c r="AP227" s="55"/>
      <c r="AQ227" s="59"/>
      <c r="AR227" s="55"/>
      <c r="AS227" s="56"/>
    </row>
    <row r="228" spans="30:45" x14ac:dyDescent="0.25">
      <c r="AD228" s="53"/>
      <c r="AE228" s="53"/>
      <c r="AF228" s="53"/>
      <c r="AG228" s="57"/>
      <c r="AH228" s="57"/>
      <c r="AI228" s="55"/>
      <c r="AJ228" s="55"/>
      <c r="AK228" s="53"/>
      <c r="AL228" s="55"/>
      <c r="AM228" s="55"/>
      <c r="AN228" s="55"/>
      <c r="AO228" s="59"/>
      <c r="AP228" s="55"/>
      <c r="AQ228" s="59"/>
      <c r="AR228" s="55"/>
      <c r="AS228" s="59"/>
    </row>
    <row r="229" spans="30:45" x14ac:dyDescent="0.25">
      <c r="AD229" s="53"/>
      <c r="AE229" s="53"/>
      <c r="AF229" s="53"/>
      <c r="AG229" s="55"/>
      <c r="AH229" s="55"/>
      <c r="AI229" s="55"/>
      <c r="AJ229" s="55"/>
      <c r="AK229" s="53"/>
      <c r="AL229" s="55"/>
      <c r="AM229" s="55"/>
      <c r="AN229" s="55"/>
      <c r="AO229" s="55"/>
      <c r="AP229" s="55"/>
      <c r="AQ229" s="59"/>
      <c r="AR229" s="55"/>
      <c r="AS229" s="59"/>
    </row>
    <row r="230" spans="30:45" x14ac:dyDescent="0.25">
      <c r="AD230" s="53"/>
      <c r="AE230" s="53"/>
      <c r="AF230" s="53"/>
      <c r="AG230" s="55"/>
      <c r="AH230" s="55"/>
      <c r="AI230" s="57"/>
      <c r="AJ230" s="57"/>
      <c r="AK230" s="53"/>
      <c r="AL230" s="56"/>
      <c r="AM230" s="56"/>
      <c r="AN230" s="55"/>
      <c r="AO230" s="55"/>
      <c r="AP230" s="55"/>
      <c r="AQ230" s="55"/>
      <c r="AR230" s="55"/>
      <c r="AS230" s="59"/>
    </row>
    <row r="231" spans="30:45" x14ac:dyDescent="0.25">
      <c r="AD231" s="53"/>
      <c r="AE231" s="53"/>
      <c r="AF231" s="53"/>
      <c r="AG231" s="55"/>
      <c r="AH231" s="55"/>
      <c r="AI231" s="55"/>
      <c r="AJ231" s="55"/>
      <c r="AK231" s="53"/>
      <c r="AL231" s="56"/>
      <c r="AM231" s="56"/>
      <c r="AN231" s="56"/>
      <c r="AO231" s="56"/>
      <c r="AP231" s="55"/>
      <c r="AQ231" s="59"/>
      <c r="AR231" s="55"/>
      <c r="AS231" s="59"/>
    </row>
    <row r="232" spans="30:45" x14ac:dyDescent="0.25">
      <c r="AD232" s="53"/>
      <c r="AE232" s="53"/>
      <c r="AF232" s="53"/>
      <c r="AG232" s="55"/>
      <c r="AH232" s="55"/>
      <c r="AI232" s="55"/>
      <c r="AJ232" s="55"/>
      <c r="AK232" s="53"/>
      <c r="AL232" s="55"/>
      <c r="AM232" s="56"/>
      <c r="AN232" s="55"/>
      <c r="AO232" s="55"/>
      <c r="AP232" s="55"/>
      <c r="AQ232" s="59"/>
      <c r="AR232" s="56"/>
      <c r="AS232" s="56"/>
    </row>
    <row r="233" spans="30:45" x14ac:dyDescent="0.25">
      <c r="AD233" s="53"/>
      <c r="AE233" s="53"/>
      <c r="AF233" s="53"/>
      <c r="AG233" s="55"/>
      <c r="AH233" s="55"/>
      <c r="AI233" s="55"/>
      <c r="AJ233" s="55"/>
      <c r="AK233" s="53"/>
      <c r="AL233" s="55"/>
      <c r="AM233" s="56"/>
      <c r="AN233" s="55"/>
      <c r="AO233" s="55"/>
      <c r="AP233" s="55"/>
      <c r="AQ233" s="59"/>
      <c r="AR233" s="55"/>
      <c r="AS233" s="59"/>
    </row>
    <row r="234" spans="30:45" x14ac:dyDescent="0.25">
      <c r="AD234" s="53"/>
      <c r="AE234" s="53"/>
      <c r="AF234" s="53"/>
      <c r="AG234" s="55"/>
      <c r="AH234" s="55"/>
      <c r="AI234" s="55"/>
      <c r="AJ234" s="55"/>
      <c r="AK234" s="53"/>
      <c r="AL234" s="55"/>
      <c r="AM234" s="56"/>
      <c r="AN234" s="56"/>
      <c r="AO234" s="56"/>
      <c r="AP234" s="55"/>
      <c r="AQ234" s="59"/>
      <c r="AR234" s="55"/>
      <c r="AS234" s="59"/>
    </row>
    <row r="235" spans="30:45" x14ac:dyDescent="0.25">
      <c r="AD235" s="53"/>
      <c r="AE235" s="53"/>
      <c r="AF235" s="53"/>
      <c r="AG235" s="53"/>
      <c r="AH235" s="53"/>
      <c r="AI235" s="55"/>
      <c r="AJ235" s="55"/>
      <c r="AK235" s="53"/>
      <c r="AL235" s="55"/>
      <c r="AM235" s="56"/>
      <c r="AN235" s="55"/>
      <c r="AO235" s="59"/>
      <c r="AP235" s="55"/>
      <c r="AQ235" s="59"/>
      <c r="AR235" s="55"/>
      <c r="AS235" s="59"/>
    </row>
    <row r="236" spans="30:45" x14ac:dyDescent="0.25">
      <c r="AD236" s="53"/>
      <c r="AE236" s="53"/>
      <c r="AF236" s="53"/>
      <c r="AG236" s="53"/>
      <c r="AH236" s="53"/>
      <c r="AI236" s="55"/>
      <c r="AJ236" s="55"/>
      <c r="AK236" s="53"/>
      <c r="AL236" s="55"/>
      <c r="AM236" s="55"/>
      <c r="AN236" s="55"/>
      <c r="AO236" s="59"/>
      <c r="AP236" s="55"/>
      <c r="AQ236" s="59"/>
      <c r="AR236" s="55"/>
      <c r="AS236" s="59"/>
    </row>
    <row r="237" spans="30:45" x14ac:dyDescent="0.25">
      <c r="AD237" s="53"/>
      <c r="AE237" s="53"/>
      <c r="AF237" s="53"/>
      <c r="AG237" s="53"/>
      <c r="AH237" s="53"/>
      <c r="AI237" s="55"/>
      <c r="AJ237" s="55"/>
      <c r="AK237" s="53"/>
      <c r="AL237" s="53"/>
      <c r="AM237" s="53"/>
      <c r="AN237" s="55"/>
      <c r="AO237" s="59"/>
      <c r="AP237" s="55"/>
      <c r="AQ237" s="59"/>
      <c r="AR237" s="55"/>
      <c r="AS237" s="55"/>
    </row>
    <row r="238" spans="30:45" x14ac:dyDescent="0.25">
      <c r="AD238" s="53"/>
      <c r="AE238" s="53"/>
      <c r="AF238" s="53"/>
      <c r="AG238" s="53"/>
      <c r="AH238" s="53"/>
      <c r="AI238" s="55"/>
      <c r="AJ238" s="55"/>
      <c r="AK238" s="53"/>
      <c r="AL238" s="53"/>
      <c r="AM238" s="53"/>
      <c r="AN238" s="55"/>
      <c r="AO238" s="59"/>
      <c r="AP238" s="55"/>
      <c r="AQ238" s="59"/>
      <c r="AR238" s="55"/>
      <c r="AS238" s="56"/>
    </row>
    <row r="239" spans="30:45" x14ac:dyDescent="0.25">
      <c r="AD239" s="53"/>
      <c r="AE239" s="53"/>
      <c r="AF239" s="53"/>
      <c r="AG239" s="53"/>
      <c r="AH239" s="53"/>
      <c r="AI239" s="55"/>
      <c r="AJ239" s="55"/>
      <c r="AK239" s="53"/>
      <c r="AL239" s="53"/>
      <c r="AM239" s="53"/>
      <c r="AN239" s="55"/>
      <c r="AO239" s="55"/>
      <c r="AP239" s="55"/>
      <c r="AQ239" s="55"/>
      <c r="AR239" s="55"/>
      <c r="AS239" s="56"/>
    </row>
    <row r="240" spans="30:45" x14ac:dyDescent="0.25">
      <c r="AD240" s="53"/>
      <c r="AE240" s="53"/>
      <c r="AF240" s="53"/>
      <c r="AG240" s="53"/>
      <c r="AH240" s="53"/>
      <c r="AI240" s="55"/>
      <c r="AJ240" s="55"/>
      <c r="AK240" s="53"/>
      <c r="AL240" s="53"/>
      <c r="AM240" s="53"/>
      <c r="AN240" s="55"/>
      <c r="AO240" s="56"/>
      <c r="AP240" s="55"/>
      <c r="AQ240" s="59"/>
      <c r="AR240" s="55"/>
      <c r="AS240" s="56"/>
    </row>
    <row r="241" spans="30:45" x14ac:dyDescent="0.25">
      <c r="AD241" s="53"/>
      <c r="AE241" s="53"/>
      <c r="AF241" s="53"/>
      <c r="AG241" s="53"/>
      <c r="AH241" s="53"/>
      <c r="AI241" s="55"/>
      <c r="AJ241" s="55"/>
      <c r="AK241" s="53"/>
      <c r="AL241" s="53"/>
      <c r="AM241" s="53"/>
      <c r="AN241" s="55"/>
      <c r="AO241" s="56"/>
      <c r="AP241" s="55"/>
      <c r="AQ241" s="59"/>
      <c r="AR241" s="55"/>
      <c r="AS241" s="56"/>
    </row>
    <row r="242" spans="30:45" x14ac:dyDescent="0.25">
      <c r="AD242" s="53"/>
      <c r="AE242" s="53"/>
      <c r="AF242" s="53"/>
      <c r="AG242" s="53"/>
      <c r="AH242" s="53"/>
      <c r="AI242" s="55"/>
      <c r="AJ242" s="55"/>
      <c r="AK242" s="53"/>
      <c r="AL242" s="53"/>
      <c r="AM242" s="53"/>
      <c r="AN242" s="55"/>
      <c r="AO242" s="56"/>
      <c r="AP242" s="55"/>
      <c r="AQ242" s="59"/>
      <c r="AR242" s="55"/>
      <c r="AS242" s="56"/>
    </row>
    <row r="243" spans="30:45" x14ac:dyDescent="0.25">
      <c r="AD243" s="53"/>
      <c r="AE243" s="53"/>
      <c r="AF243" s="53"/>
      <c r="AG243" s="53"/>
      <c r="AH243" s="53"/>
      <c r="AI243" s="55"/>
      <c r="AJ243" s="55"/>
      <c r="AK243" s="53"/>
      <c r="AL243" s="53"/>
      <c r="AM243" s="53"/>
      <c r="AN243" s="55"/>
      <c r="AO243" s="56"/>
      <c r="AP243" s="55"/>
      <c r="AQ243" s="59"/>
      <c r="AR243" s="55"/>
      <c r="AS243" s="56"/>
    </row>
    <row r="244" spans="30:45" x14ac:dyDescent="0.25">
      <c r="AD244" s="53"/>
      <c r="AE244" s="53"/>
      <c r="AF244" s="53"/>
      <c r="AG244" s="53"/>
      <c r="AH244" s="53"/>
      <c r="AI244" s="55"/>
      <c r="AJ244" s="57"/>
      <c r="AK244" s="53"/>
      <c r="AL244" s="53"/>
      <c r="AM244" s="53"/>
      <c r="AN244" s="55"/>
      <c r="AO244" s="55"/>
      <c r="AP244" s="55"/>
      <c r="AQ244" s="55"/>
      <c r="AR244" s="55"/>
      <c r="AS244" s="56"/>
    </row>
    <row r="245" spans="30:45" x14ac:dyDescent="0.25">
      <c r="AD245" s="53"/>
      <c r="AE245" s="53"/>
      <c r="AF245" s="53"/>
      <c r="AG245" s="53"/>
      <c r="AH245" s="53"/>
      <c r="AI245" s="55"/>
      <c r="AJ245" s="57"/>
      <c r="AK245" s="53"/>
      <c r="AL245" s="53"/>
      <c r="AM245" s="53"/>
      <c r="AN245" s="55"/>
      <c r="AO245" s="55"/>
      <c r="AP245" s="55"/>
      <c r="AQ245" s="55"/>
      <c r="AR245" s="55"/>
      <c r="AS245" s="56"/>
    </row>
    <row r="246" spans="30:45" x14ac:dyDescent="0.25">
      <c r="AD246" s="53"/>
      <c r="AE246" s="53"/>
      <c r="AF246" s="53"/>
      <c r="AG246" s="53"/>
      <c r="AH246" s="53"/>
      <c r="AI246" s="55"/>
      <c r="AJ246" s="57"/>
      <c r="AK246" s="53"/>
      <c r="AL246" s="53"/>
      <c r="AM246" s="53"/>
      <c r="AN246" s="55"/>
      <c r="AO246" s="55"/>
      <c r="AP246" s="55"/>
      <c r="AQ246" s="55"/>
      <c r="AR246" s="55"/>
      <c r="AS246" s="59"/>
    </row>
    <row r="247" spans="30:45" x14ac:dyDescent="0.25">
      <c r="AD247" s="53"/>
      <c r="AE247" s="53"/>
      <c r="AF247" s="53"/>
      <c r="AG247" s="53"/>
      <c r="AH247" s="53"/>
      <c r="AI247" s="55"/>
      <c r="AJ247" s="57"/>
      <c r="AK247" s="53"/>
      <c r="AL247" s="53"/>
      <c r="AM247" s="53"/>
      <c r="AN247" s="53"/>
      <c r="AO247" s="53"/>
      <c r="AP247" s="55"/>
      <c r="AQ247" s="55"/>
      <c r="AR247" s="55"/>
      <c r="AS247" s="59"/>
    </row>
    <row r="248" spans="30:45" x14ac:dyDescent="0.25">
      <c r="AD248" s="53"/>
      <c r="AE248" s="53"/>
      <c r="AF248" s="53"/>
      <c r="AG248" s="53"/>
      <c r="AH248" s="53"/>
      <c r="AI248" s="55"/>
      <c r="AJ248" s="57"/>
      <c r="AK248" s="53"/>
      <c r="AL248" s="53"/>
      <c r="AM248" s="53"/>
      <c r="AN248" s="53"/>
      <c r="AO248" s="53"/>
      <c r="AP248" s="55"/>
      <c r="AQ248" s="55"/>
      <c r="AR248" s="55"/>
      <c r="AS248" s="59"/>
    </row>
    <row r="249" spans="30:45" x14ac:dyDescent="0.25">
      <c r="AD249" s="53"/>
      <c r="AE249" s="53"/>
      <c r="AF249" s="53"/>
      <c r="AG249" s="53"/>
      <c r="AH249" s="53"/>
      <c r="AI249" s="55"/>
      <c r="AJ249" s="57"/>
      <c r="AK249" s="53"/>
      <c r="AL249" s="53"/>
      <c r="AM249" s="53"/>
      <c r="AN249" s="53"/>
      <c r="AO249" s="53"/>
      <c r="AP249" s="55"/>
      <c r="AQ249" s="55"/>
      <c r="AR249" s="55"/>
      <c r="AS249" s="59"/>
    </row>
    <row r="250" spans="30:45" x14ac:dyDescent="0.25">
      <c r="AD250" s="53"/>
      <c r="AE250" s="53"/>
      <c r="AF250" s="53"/>
      <c r="AG250" s="53"/>
      <c r="AH250" s="53"/>
      <c r="AI250" s="57"/>
      <c r="AJ250" s="57"/>
      <c r="AK250" s="53"/>
      <c r="AL250" s="53"/>
      <c r="AM250" s="53"/>
      <c r="AN250" s="53"/>
      <c r="AO250" s="53"/>
      <c r="AP250" s="55"/>
      <c r="AQ250" s="59"/>
      <c r="AR250" s="55"/>
      <c r="AS250" s="59"/>
    </row>
    <row r="251" spans="30:45" x14ac:dyDescent="0.25">
      <c r="AD251" s="53"/>
      <c r="AE251" s="53"/>
      <c r="AF251" s="53"/>
      <c r="AG251" s="53"/>
      <c r="AH251" s="53"/>
      <c r="AI251" s="55"/>
      <c r="AJ251" s="55"/>
      <c r="AK251" s="53"/>
      <c r="AL251" s="53"/>
      <c r="AM251" s="53"/>
      <c r="AN251" s="53"/>
      <c r="AO251" s="53"/>
      <c r="AP251" s="55"/>
      <c r="AQ251" s="59"/>
      <c r="AR251" s="55"/>
      <c r="AS251" s="59"/>
    </row>
    <row r="252" spans="30:45" x14ac:dyDescent="0.25">
      <c r="AD252" s="53"/>
      <c r="AE252" s="53"/>
      <c r="AF252" s="53"/>
      <c r="AG252" s="53"/>
      <c r="AH252" s="53"/>
      <c r="AI252" s="57"/>
      <c r="AJ252" s="57"/>
      <c r="AK252" s="53"/>
      <c r="AL252" s="53"/>
      <c r="AM252" s="53"/>
      <c r="AN252" s="53"/>
      <c r="AO252" s="53"/>
      <c r="AP252" s="55"/>
      <c r="AQ252" s="59"/>
      <c r="AR252" s="55"/>
      <c r="AS252" s="59"/>
    </row>
    <row r="253" spans="30:45" x14ac:dyDescent="0.25">
      <c r="AD253" s="53"/>
      <c r="AE253" s="53"/>
      <c r="AF253" s="53"/>
      <c r="AG253" s="53"/>
      <c r="AH253" s="53"/>
      <c r="AI253" s="55"/>
      <c r="AJ253" s="55"/>
      <c r="AK253" s="53"/>
      <c r="AL253" s="53"/>
      <c r="AM253" s="53"/>
      <c r="AN253" s="53"/>
      <c r="AO253" s="53"/>
      <c r="AP253" s="55"/>
      <c r="AQ253" s="59"/>
      <c r="AR253" s="55"/>
      <c r="AS253" s="59"/>
    </row>
    <row r="254" spans="30:45" x14ac:dyDescent="0.25">
      <c r="AD254" s="53"/>
      <c r="AE254" s="53"/>
      <c r="AF254" s="53"/>
      <c r="AG254" s="53"/>
      <c r="AH254" s="53"/>
      <c r="AI254" s="55"/>
      <c r="AJ254" s="55"/>
      <c r="AK254" s="53"/>
      <c r="AL254" s="53"/>
      <c r="AM254" s="53"/>
      <c r="AN254" s="53"/>
      <c r="AO254" s="53"/>
      <c r="AP254" s="55"/>
      <c r="AQ254" s="55"/>
      <c r="AR254" s="56"/>
      <c r="AS254" s="56"/>
    </row>
    <row r="255" spans="30:45" x14ac:dyDescent="0.25">
      <c r="AD255" s="53"/>
      <c r="AE255" s="53"/>
      <c r="AF255" s="53"/>
      <c r="AG255" s="53"/>
      <c r="AH255" s="53"/>
      <c r="AI255" s="55"/>
      <c r="AJ255" s="55"/>
      <c r="AK255" s="53"/>
      <c r="AL255" s="53"/>
      <c r="AM255" s="53"/>
      <c r="AN255" s="53"/>
      <c r="AO255" s="53"/>
      <c r="AP255" s="55"/>
      <c r="AQ255" s="55"/>
      <c r="AR255" s="55"/>
      <c r="AS255" s="55"/>
    </row>
    <row r="256" spans="30:45" x14ac:dyDescent="0.25">
      <c r="AD256" s="53"/>
      <c r="AE256" s="53"/>
      <c r="AF256" s="53"/>
      <c r="AG256" s="53"/>
      <c r="AH256" s="53"/>
      <c r="AI256" s="55"/>
      <c r="AJ256" s="55"/>
      <c r="AK256" s="53"/>
      <c r="AL256" s="53"/>
      <c r="AM256" s="53"/>
      <c r="AN256" s="53"/>
      <c r="AO256" s="53"/>
      <c r="AP256" s="55"/>
      <c r="AQ256" s="56"/>
      <c r="AR256" s="55"/>
      <c r="AS256" s="59"/>
    </row>
    <row r="257" spans="30:45" x14ac:dyDescent="0.25">
      <c r="AD257" s="53"/>
      <c r="AE257" s="53"/>
      <c r="AF257" s="53"/>
      <c r="AG257" s="53"/>
      <c r="AH257" s="53"/>
      <c r="AI257" s="55"/>
      <c r="AJ257" s="55"/>
      <c r="AK257" s="53"/>
      <c r="AL257" s="53"/>
      <c r="AM257" s="53"/>
      <c r="AN257" s="53"/>
      <c r="AO257" s="53"/>
      <c r="AP257" s="55"/>
      <c r="AQ257" s="56"/>
      <c r="AR257" s="55"/>
      <c r="AS257" s="59"/>
    </row>
    <row r="258" spans="30:45" x14ac:dyDescent="0.25">
      <c r="AD258" s="53"/>
      <c r="AE258" s="53"/>
      <c r="AF258" s="53"/>
      <c r="AG258" s="53"/>
      <c r="AH258" s="53"/>
      <c r="AI258" s="55"/>
      <c r="AJ258" s="55"/>
      <c r="AK258" s="53"/>
      <c r="AL258" s="53"/>
      <c r="AM258" s="53"/>
      <c r="AN258" s="53"/>
      <c r="AO258" s="53"/>
      <c r="AP258" s="55"/>
      <c r="AQ258" s="56"/>
      <c r="AR258" s="55"/>
      <c r="AS258" s="59"/>
    </row>
    <row r="259" spans="30:45" x14ac:dyDescent="0.25">
      <c r="AD259" s="53"/>
      <c r="AE259" s="53"/>
      <c r="AF259" s="53"/>
      <c r="AG259" s="53"/>
      <c r="AH259" s="53"/>
      <c r="AI259" s="55"/>
      <c r="AJ259" s="55"/>
      <c r="AK259" s="53"/>
      <c r="AL259" s="53"/>
      <c r="AM259" s="53"/>
      <c r="AN259" s="53"/>
      <c r="AO259" s="53"/>
      <c r="AP259" s="55"/>
      <c r="AQ259" s="56"/>
      <c r="AR259" s="55"/>
      <c r="AS259" s="59"/>
    </row>
    <row r="260" spans="30:45" x14ac:dyDescent="0.25">
      <c r="AD260" s="53"/>
      <c r="AE260" s="53"/>
      <c r="AF260" s="53"/>
      <c r="AG260" s="53"/>
      <c r="AH260" s="53"/>
      <c r="AI260" s="57"/>
      <c r="AJ260" s="57"/>
      <c r="AK260" s="53"/>
      <c r="AL260" s="53"/>
      <c r="AM260" s="53"/>
      <c r="AN260" s="53"/>
      <c r="AO260" s="53"/>
      <c r="AP260" s="55"/>
      <c r="AQ260" s="56"/>
      <c r="AR260" s="55"/>
      <c r="AS260" s="55"/>
    </row>
    <row r="261" spans="30:45" x14ac:dyDescent="0.25">
      <c r="AD261" s="53"/>
      <c r="AE261" s="53"/>
      <c r="AF261" s="53"/>
      <c r="AG261" s="53"/>
      <c r="AH261" s="53"/>
      <c r="AI261" s="55"/>
      <c r="AJ261" s="55"/>
      <c r="AK261" s="53"/>
      <c r="AL261" s="53"/>
      <c r="AM261" s="53"/>
      <c r="AN261" s="53"/>
      <c r="AO261" s="53"/>
      <c r="AP261" s="55"/>
      <c r="AQ261" s="56"/>
      <c r="AR261" s="55"/>
      <c r="AS261" s="55"/>
    </row>
    <row r="262" spans="30:45" x14ac:dyDescent="0.25">
      <c r="AD262" s="53"/>
      <c r="AE262" s="53"/>
      <c r="AF262" s="53"/>
      <c r="AG262" s="53"/>
      <c r="AH262" s="53"/>
      <c r="AI262" s="55"/>
      <c r="AJ262" s="55"/>
      <c r="AK262" s="53"/>
      <c r="AL262" s="53"/>
      <c r="AM262" s="53"/>
      <c r="AN262" s="53"/>
      <c r="AO262" s="53"/>
      <c r="AP262" s="55"/>
      <c r="AQ262" s="56"/>
      <c r="AR262" s="55"/>
      <c r="AS262" s="59"/>
    </row>
    <row r="263" spans="30:45" x14ac:dyDescent="0.25">
      <c r="AD263" s="53"/>
      <c r="AE263" s="53"/>
      <c r="AF263" s="53"/>
      <c r="AG263" s="53"/>
      <c r="AH263" s="53"/>
      <c r="AI263" s="57"/>
      <c r="AJ263" s="57"/>
      <c r="AK263" s="53"/>
      <c r="AL263" s="53"/>
      <c r="AM263" s="53"/>
      <c r="AN263" s="53"/>
      <c r="AO263" s="53"/>
      <c r="AP263" s="55"/>
      <c r="AQ263" s="56"/>
      <c r="AR263" s="55"/>
      <c r="AS263" s="59"/>
    </row>
    <row r="264" spans="30:45" x14ac:dyDescent="0.25">
      <c r="AD264" s="53"/>
      <c r="AE264" s="53"/>
      <c r="AF264" s="53"/>
      <c r="AG264" s="53"/>
      <c r="AH264" s="53"/>
      <c r="AI264" s="55"/>
      <c r="AJ264" s="55"/>
      <c r="AK264" s="53"/>
      <c r="AL264" s="53"/>
      <c r="AM264" s="53"/>
      <c r="AN264" s="53"/>
      <c r="AO264" s="53"/>
      <c r="AP264" s="55"/>
      <c r="AQ264" s="59"/>
      <c r="AR264" s="55"/>
      <c r="AS264" s="59"/>
    </row>
    <row r="265" spans="30:45" x14ac:dyDescent="0.25">
      <c r="AD265" s="53"/>
      <c r="AE265" s="53"/>
      <c r="AF265" s="53"/>
      <c r="AG265" s="53"/>
      <c r="AH265" s="53"/>
      <c r="AI265" s="55"/>
      <c r="AJ265" s="55"/>
      <c r="AK265" s="53"/>
      <c r="AL265" s="53"/>
      <c r="AM265" s="53"/>
      <c r="AN265" s="53"/>
      <c r="AO265" s="53"/>
      <c r="AP265" s="55"/>
      <c r="AQ265" s="59"/>
      <c r="AR265" s="55"/>
      <c r="AS265" s="59"/>
    </row>
    <row r="266" spans="30:45" x14ac:dyDescent="0.25">
      <c r="AD266" s="53"/>
      <c r="AE266" s="53"/>
      <c r="AF266" s="53"/>
      <c r="AG266" s="53"/>
      <c r="AH266" s="53"/>
      <c r="AI266" s="55"/>
      <c r="AJ266" s="55"/>
      <c r="AK266" s="53"/>
      <c r="AL266" s="53"/>
      <c r="AM266" s="53"/>
      <c r="AN266" s="53"/>
      <c r="AO266" s="53"/>
      <c r="AP266" s="55"/>
      <c r="AQ266" s="59"/>
      <c r="AR266" s="55"/>
      <c r="AS266" s="59"/>
    </row>
    <row r="267" spans="30:45" x14ac:dyDescent="0.25">
      <c r="AD267" s="53"/>
      <c r="AE267" s="53"/>
      <c r="AF267" s="53"/>
      <c r="AG267" s="53"/>
      <c r="AH267" s="53"/>
      <c r="AI267" s="55"/>
      <c r="AJ267" s="55"/>
      <c r="AK267" s="53"/>
      <c r="AL267" s="53"/>
      <c r="AM267" s="53"/>
      <c r="AN267" s="53"/>
      <c r="AO267" s="53"/>
      <c r="AP267" s="55"/>
      <c r="AQ267" s="59"/>
      <c r="AR267" s="55"/>
      <c r="AS267" s="59"/>
    </row>
    <row r="268" spans="30:45" x14ac:dyDescent="0.25">
      <c r="AD268" s="53"/>
      <c r="AE268" s="53"/>
      <c r="AF268" s="53"/>
      <c r="AG268" s="53"/>
      <c r="AH268" s="53"/>
      <c r="AI268" s="55"/>
      <c r="AJ268" s="55"/>
      <c r="AK268" s="53"/>
      <c r="AL268" s="53"/>
      <c r="AM268" s="53"/>
      <c r="AN268" s="53"/>
      <c r="AO268" s="53"/>
      <c r="AP268" s="55"/>
      <c r="AQ268" s="59"/>
      <c r="AR268" s="55"/>
      <c r="AS268" s="59"/>
    </row>
    <row r="269" spans="30:45" x14ac:dyDescent="0.25">
      <c r="AD269" s="53"/>
      <c r="AE269" s="53"/>
      <c r="AF269" s="53"/>
      <c r="AG269" s="53"/>
      <c r="AH269" s="53"/>
      <c r="AI269" s="55"/>
      <c r="AJ269" s="55"/>
      <c r="AK269" s="53"/>
      <c r="AL269" s="53"/>
      <c r="AM269" s="53"/>
      <c r="AN269" s="53"/>
      <c r="AO269" s="53"/>
      <c r="AP269" s="55"/>
      <c r="AQ269" s="59"/>
      <c r="AR269" s="55"/>
      <c r="AS269" s="59"/>
    </row>
    <row r="270" spans="30:45" x14ac:dyDescent="0.25">
      <c r="AD270" s="53"/>
      <c r="AE270" s="53"/>
      <c r="AF270" s="53"/>
      <c r="AG270" s="53"/>
      <c r="AH270" s="53"/>
      <c r="AI270" s="55"/>
      <c r="AJ270" s="55"/>
      <c r="AK270" s="53"/>
      <c r="AL270" s="53"/>
      <c r="AM270" s="53"/>
      <c r="AN270" s="53"/>
      <c r="AO270" s="53"/>
      <c r="AP270" s="55"/>
      <c r="AQ270" s="59"/>
      <c r="AR270" s="55"/>
      <c r="AS270" s="55"/>
    </row>
    <row r="271" spans="30:45" x14ac:dyDescent="0.25">
      <c r="AD271" s="53"/>
      <c r="AE271" s="53"/>
      <c r="AF271" s="53"/>
      <c r="AG271" s="53"/>
      <c r="AH271" s="53"/>
      <c r="AI271" s="55"/>
      <c r="AJ271" s="55"/>
      <c r="AK271" s="53"/>
      <c r="AL271" s="53"/>
      <c r="AM271" s="53"/>
      <c r="AN271" s="53"/>
      <c r="AO271" s="53"/>
      <c r="AP271" s="55"/>
      <c r="AQ271" s="59"/>
      <c r="AR271" s="55"/>
      <c r="AS271" s="55"/>
    </row>
    <row r="272" spans="30:45" x14ac:dyDescent="0.25">
      <c r="AD272" s="53"/>
      <c r="AE272" s="53"/>
      <c r="AF272" s="53"/>
      <c r="AG272" s="53"/>
      <c r="AH272" s="53"/>
      <c r="AI272" s="55"/>
      <c r="AJ272" s="55"/>
      <c r="AK272" s="53"/>
      <c r="AL272" s="53"/>
      <c r="AM272" s="53"/>
      <c r="AN272" s="53"/>
      <c r="AO272" s="53"/>
      <c r="AP272" s="55"/>
      <c r="AQ272" s="55"/>
      <c r="AR272" s="55"/>
      <c r="AS272" s="59"/>
    </row>
    <row r="273" spans="30:45" x14ac:dyDescent="0.25">
      <c r="AD273" s="53"/>
      <c r="AE273" s="53"/>
      <c r="AF273" s="53"/>
      <c r="AG273" s="53"/>
      <c r="AH273" s="53"/>
      <c r="AI273" s="55"/>
      <c r="AJ273" s="55"/>
      <c r="AK273" s="53"/>
      <c r="AL273" s="53"/>
      <c r="AM273" s="53"/>
      <c r="AN273" s="53"/>
      <c r="AO273" s="53"/>
      <c r="AP273" s="55"/>
      <c r="AQ273" s="55"/>
      <c r="AR273" s="55"/>
      <c r="AS273" s="59"/>
    </row>
    <row r="274" spans="30:45" x14ac:dyDescent="0.25">
      <c r="AD274" s="53"/>
      <c r="AE274" s="53"/>
      <c r="AF274" s="53"/>
      <c r="AG274" s="53"/>
      <c r="AH274" s="53"/>
      <c r="AI274" s="53"/>
      <c r="AJ274" s="53"/>
      <c r="AK274" s="53"/>
      <c r="AL274" s="53"/>
      <c r="AM274" s="53"/>
      <c r="AN274" s="53"/>
      <c r="AO274" s="53"/>
      <c r="AP274" s="56"/>
      <c r="AQ274" s="56"/>
      <c r="AR274" s="55"/>
      <c r="AS274" s="59"/>
    </row>
    <row r="275" spans="30:45" x14ac:dyDescent="0.25">
      <c r="AD275" s="53"/>
      <c r="AE275" s="53"/>
      <c r="AF275" s="53"/>
      <c r="AG275" s="53"/>
      <c r="AH275" s="53"/>
      <c r="AI275" s="53"/>
      <c r="AJ275" s="53"/>
      <c r="AK275" s="53"/>
      <c r="AL275" s="53"/>
      <c r="AM275" s="53"/>
      <c r="AN275" s="53"/>
      <c r="AO275" s="53"/>
      <c r="AP275" s="55"/>
      <c r="AQ275" s="55"/>
      <c r="AR275" s="55"/>
      <c r="AS275" s="59"/>
    </row>
    <row r="276" spans="30:45" x14ac:dyDescent="0.25">
      <c r="AD276" s="53"/>
      <c r="AE276" s="53"/>
      <c r="AF276" s="53"/>
      <c r="AG276" s="53"/>
      <c r="AH276" s="53"/>
      <c r="AI276" s="53"/>
      <c r="AJ276" s="53"/>
      <c r="AK276" s="53"/>
      <c r="AL276" s="53"/>
      <c r="AM276" s="53"/>
      <c r="AN276" s="53"/>
      <c r="AO276" s="53"/>
      <c r="AP276" s="55"/>
      <c r="AQ276" s="55"/>
      <c r="AR276" s="55"/>
      <c r="AS276" s="55"/>
    </row>
    <row r="277" spans="30:45" x14ac:dyDescent="0.25">
      <c r="AD277" s="53"/>
      <c r="AE277" s="53"/>
      <c r="AF277" s="53"/>
      <c r="AG277" s="53"/>
      <c r="AH277" s="53"/>
      <c r="AI277" s="53"/>
      <c r="AJ277" s="53"/>
      <c r="AK277" s="53"/>
      <c r="AL277" s="53"/>
      <c r="AM277" s="53"/>
      <c r="AN277" s="53"/>
      <c r="AO277" s="53"/>
      <c r="AP277" s="55"/>
      <c r="AQ277" s="55"/>
      <c r="AR277" s="55"/>
      <c r="AS277" s="55"/>
    </row>
    <row r="278" spans="30:45" x14ac:dyDescent="0.25">
      <c r="AD278" s="53"/>
      <c r="AE278" s="53"/>
      <c r="AF278" s="53"/>
      <c r="AG278" s="53"/>
      <c r="AH278" s="53"/>
      <c r="AI278" s="53"/>
      <c r="AJ278" s="53"/>
      <c r="AK278" s="53"/>
      <c r="AL278" s="53"/>
      <c r="AM278" s="53"/>
      <c r="AN278" s="53"/>
      <c r="AO278" s="53"/>
      <c r="AP278" s="56"/>
      <c r="AQ278" s="56"/>
      <c r="AR278" s="55"/>
      <c r="AS278" s="55"/>
    </row>
    <row r="279" spans="30:45" x14ac:dyDescent="0.25">
      <c r="AD279" s="53"/>
      <c r="AE279" s="53"/>
      <c r="AF279" s="53"/>
      <c r="AG279" s="53"/>
      <c r="AH279" s="53"/>
      <c r="AI279" s="53"/>
      <c r="AJ279" s="53"/>
      <c r="AK279" s="53"/>
      <c r="AL279" s="53"/>
      <c r="AM279" s="53"/>
      <c r="AN279" s="53"/>
      <c r="AO279" s="53"/>
      <c r="AP279" s="55"/>
      <c r="AQ279" s="59"/>
      <c r="AR279" s="55"/>
      <c r="AS279" s="55"/>
    </row>
    <row r="280" spans="30:45" x14ac:dyDescent="0.25">
      <c r="AD280" s="53"/>
      <c r="AE280" s="53"/>
      <c r="AF280" s="53"/>
      <c r="AG280" s="53"/>
      <c r="AH280" s="53"/>
      <c r="AI280" s="53"/>
      <c r="AJ280" s="53"/>
      <c r="AK280" s="53"/>
      <c r="AL280" s="53"/>
      <c r="AM280" s="53"/>
      <c r="AN280" s="53"/>
      <c r="AO280" s="53"/>
      <c r="AP280" s="55"/>
      <c r="AQ280" s="59"/>
      <c r="AR280" s="55"/>
      <c r="AS280" s="55"/>
    </row>
    <row r="281" spans="30:45" x14ac:dyDescent="0.25">
      <c r="AD281" s="53"/>
      <c r="AE281" s="53"/>
      <c r="AF281" s="53"/>
      <c r="AG281" s="53"/>
      <c r="AH281" s="53"/>
      <c r="AI281" s="53"/>
      <c r="AJ281" s="53"/>
      <c r="AK281" s="53"/>
      <c r="AL281" s="53"/>
      <c r="AM281" s="53"/>
      <c r="AN281" s="53"/>
      <c r="AO281" s="53"/>
      <c r="AP281" s="55"/>
      <c r="AQ281" s="59"/>
      <c r="AR281" s="55"/>
      <c r="AS281" s="55"/>
    </row>
    <row r="282" spans="30:45" x14ac:dyDescent="0.25">
      <c r="AD282" s="53"/>
      <c r="AE282" s="53"/>
      <c r="AF282" s="53"/>
      <c r="AG282" s="53"/>
      <c r="AH282" s="53"/>
      <c r="AI282" s="53"/>
      <c r="AJ282" s="53"/>
      <c r="AK282" s="53"/>
      <c r="AL282" s="53"/>
      <c r="AM282" s="53"/>
      <c r="AN282" s="53"/>
      <c r="AO282" s="53"/>
      <c r="AP282" s="55"/>
      <c r="AQ282" s="59"/>
      <c r="AR282" s="55"/>
      <c r="AS282" s="59"/>
    </row>
    <row r="283" spans="30:45" x14ac:dyDescent="0.25">
      <c r="AD283" s="53"/>
      <c r="AE283" s="53"/>
      <c r="AF283" s="53"/>
      <c r="AG283" s="53"/>
      <c r="AH283" s="53"/>
      <c r="AI283" s="53"/>
      <c r="AJ283" s="53"/>
      <c r="AK283" s="53"/>
      <c r="AL283" s="53"/>
      <c r="AM283" s="53"/>
      <c r="AN283" s="53"/>
      <c r="AO283" s="53"/>
      <c r="AP283" s="55"/>
      <c r="AQ283" s="55"/>
      <c r="AR283" s="55"/>
      <c r="AS283" s="59"/>
    </row>
    <row r="284" spans="30:45" x14ac:dyDescent="0.25">
      <c r="AD284" s="53"/>
      <c r="AE284" s="53"/>
      <c r="AF284" s="53"/>
      <c r="AG284" s="53"/>
      <c r="AH284" s="53"/>
      <c r="AI284" s="53"/>
      <c r="AJ284" s="53"/>
      <c r="AK284" s="53"/>
      <c r="AL284" s="53"/>
      <c r="AM284" s="53"/>
      <c r="AN284" s="53"/>
      <c r="AO284" s="53"/>
      <c r="AP284" s="55"/>
      <c r="AQ284" s="55"/>
      <c r="AR284" s="55"/>
      <c r="AS284" s="59"/>
    </row>
    <row r="285" spans="30:45" x14ac:dyDescent="0.25">
      <c r="AD285" s="53"/>
      <c r="AE285" s="53"/>
      <c r="AF285" s="53"/>
      <c r="AG285" s="53"/>
      <c r="AH285" s="53"/>
      <c r="AI285" s="53"/>
      <c r="AJ285" s="53"/>
      <c r="AK285" s="53"/>
      <c r="AL285" s="53"/>
      <c r="AM285" s="53"/>
      <c r="AN285" s="53"/>
      <c r="AO285" s="53"/>
      <c r="AP285" s="55"/>
      <c r="AQ285" s="56"/>
      <c r="AR285" s="55"/>
      <c r="AS285" s="59"/>
    </row>
    <row r="286" spans="30:45" x14ac:dyDescent="0.25">
      <c r="AD286" s="53"/>
      <c r="AE286" s="53"/>
      <c r="AF286" s="53"/>
      <c r="AG286" s="53"/>
      <c r="AH286" s="53"/>
      <c r="AI286" s="53"/>
      <c r="AJ286" s="53"/>
      <c r="AK286" s="53"/>
      <c r="AL286" s="53"/>
      <c r="AM286" s="53"/>
      <c r="AN286" s="53"/>
      <c r="AO286" s="53"/>
      <c r="AP286" s="55"/>
      <c r="AQ286" s="56"/>
      <c r="AR286" s="55"/>
      <c r="AS286" s="55"/>
    </row>
    <row r="287" spans="30:45" x14ac:dyDescent="0.25">
      <c r="AD287" s="53"/>
      <c r="AE287" s="53"/>
      <c r="AF287" s="53"/>
      <c r="AG287" s="53"/>
      <c r="AH287" s="53"/>
      <c r="AI287" s="53"/>
      <c r="AJ287" s="53"/>
      <c r="AK287" s="53"/>
      <c r="AL287" s="53"/>
      <c r="AM287" s="53"/>
      <c r="AN287" s="53"/>
      <c r="AO287" s="53"/>
      <c r="AP287" s="55"/>
      <c r="AQ287" s="56"/>
      <c r="AR287" s="55"/>
      <c r="AS287" s="55"/>
    </row>
    <row r="288" spans="30:45" x14ac:dyDescent="0.25">
      <c r="AD288" s="53"/>
      <c r="AE288" s="53"/>
      <c r="AF288" s="53"/>
      <c r="AG288" s="53"/>
      <c r="AH288" s="53"/>
      <c r="AI288" s="53"/>
      <c r="AJ288" s="53"/>
      <c r="AK288" s="53"/>
      <c r="AL288" s="53"/>
      <c r="AM288" s="53"/>
      <c r="AN288" s="53"/>
      <c r="AO288" s="53"/>
      <c r="AP288" s="55"/>
      <c r="AQ288" s="56"/>
      <c r="AR288" s="55"/>
      <c r="AS288" s="56"/>
    </row>
    <row r="289" spans="30:45" x14ac:dyDescent="0.25">
      <c r="AD289" s="53"/>
      <c r="AE289" s="53"/>
      <c r="AF289" s="53"/>
      <c r="AG289" s="53"/>
      <c r="AH289" s="53"/>
      <c r="AI289" s="53"/>
      <c r="AJ289" s="53"/>
      <c r="AK289" s="53"/>
      <c r="AL289" s="53"/>
      <c r="AM289" s="53"/>
      <c r="AN289" s="53"/>
      <c r="AO289" s="53"/>
      <c r="AP289" s="55"/>
      <c r="AQ289" s="55"/>
      <c r="AR289" s="55"/>
      <c r="AS289" s="56"/>
    </row>
    <row r="290" spans="30:45" x14ac:dyDescent="0.25">
      <c r="AD290" s="53"/>
      <c r="AE290" s="53"/>
      <c r="AF290" s="53"/>
      <c r="AG290" s="53"/>
      <c r="AH290" s="53"/>
      <c r="AI290" s="53"/>
      <c r="AJ290" s="53"/>
      <c r="AK290" s="53"/>
      <c r="AL290" s="53"/>
      <c r="AM290" s="53"/>
      <c r="AN290" s="53"/>
      <c r="AO290" s="53"/>
      <c r="AP290" s="55"/>
      <c r="AQ290" s="55"/>
      <c r="AR290" s="55"/>
      <c r="AS290" s="56"/>
    </row>
    <row r="291" spans="30:45" x14ac:dyDescent="0.25">
      <c r="AD291" s="53"/>
      <c r="AE291" s="53"/>
      <c r="AF291" s="53"/>
      <c r="AG291" s="53"/>
      <c r="AH291" s="53"/>
      <c r="AI291" s="53"/>
      <c r="AJ291" s="53"/>
      <c r="AK291" s="53"/>
      <c r="AL291" s="53"/>
      <c r="AM291" s="53"/>
      <c r="AN291" s="53"/>
      <c r="AO291" s="53"/>
      <c r="AP291" s="55"/>
      <c r="AQ291" s="55"/>
      <c r="AR291" s="55"/>
      <c r="AS291" s="56"/>
    </row>
    <row r="292" spans="30:45" x14ac:dyDescent="0.25">
      <c r="AD292" s="53"/>
      <c r="AE292" s="53"/>
      <c r="AF292" s="53"/>
      <c r="AG292" s="53"/>
      <c r="AH292" s="53"/>
      <c r="AI292" s="53"/>
      <c r="AJ292" s="53"/>
      <c r="AK292" s="53"/>
      <c r="AL292" s="53"/>
      <c r="AM292" s="53"/>
      <c r="AN292" s="53"/>
      <c r="AO292" s="53"/>
      <c r="AP292" s="53"/>
      <c r="AQ292" s="53"/>
      <c r="AR292" s="55"/>
      <c r="AS292" s="56"/>
    </row>
    <row r="293" spans="30:45" x14ac:dyDescent="0.25">
      <c r="AD293" s="53"/>
      <c r="AE293" s="53"/>
      <c r="AF293" s="53"/>
      <c r="AG293" s="53"/>
      <c r="AH293" s="53"/>
      <c r="AI293" s="53"/>
      <c r="AJ293" s="53"/>
      <c r="AK293" s="53"/>
      <c r="AL293" s="53"/>
      <c r="AM293" s="53"/>
      <c r="AN293" s="53"/>
      <c r="AO293" s="53"/>
      <c r="AP293" s="53"/>
      <c r="AQ293" s="53"/>
      <c r="AR293" s="55"/>
      <c r="AS293" s="56"/>
    </row>
    <row r="294" spans="30:45" x14ac:dyDescent="0.25">
      <c r="AD294" s="53"/>
      <c r="AE294" s="53"/>
      <c r="AF294" s="53"/>
      <c r="AG294" s="53"/>
      <c r="AH294" s="53"/>
      <c r="AI294" s="53"/>
      <c r="AJ294" s="53"/>
      <c r="AK294" s="53"/>
      <c r="AL294" s="53"/>
      <c r="AM294" s="53"/>
      <c r="AN294" s="53"/>
      <c r="AO294" s="53"/>
      <c r="AP294" s="53"/>
      <c r="AQ294" s="53"/>
      <c r="AR294" s="55"/>
      <c r="AS294" s="56"/>
    </row>
    <row r="295" spans="30:45" x14ac:dyDescent="0.25">
      <c r="AD295" s="53"/>
      <c r="AE295" s="53"/>
      <c r="AF295" s="53"/>
      <c r="AG295" s="53"/>
      <c r="AH295" s="53"/>
      <c r="AI295" s="53"/>
      <c r="AJ295" s="53"/>
      <c r="AK295" s="53"/>
      <c r="AL295" s="53"/>
      <c r="AM295" s="53"/>
      <c r="AN295" s="53"/>
      <c r="AO295" s="53"/>
      <c r="AP295" s="53"/>
      <c r="AQ295" s="53"/>
      <c r="AR295" s="55"/>
      <c r="AS295" s="56"/>
    </row>
    <row r="296" spans="30:45" x14ac:dyDescent="0.25">
      <c r="AD296" s="53"/>
      <c r="AE296" s="53"/>
      <c r="AF296" s="53"/>
      <c r="AG296" s="53"/>
      <c r="AH296" s="53"/>
      <c r="AI296" s="53"/>
      <c r="AJ296" s="53"/>
      <c r="AK296" s="53"/>
      <c r="AL296" s="53"/>
      <c r="AM296" s="53"/>
      <c r="AN296" s="53"/>
      <c r="AO296" s="53"/>
      <c r="AP296" s="53"/>
      <c r="AQ296" s="53"/>
      <c r="AR296" s="55"/>
      <c r="AS296" s="59"/>
    </row>
    <row r="297" spans="30:45" x14ac:dyDescent="0.25">
      <c r="AD297" s="53"/>
      <c r="AE297" s="53"/>
      <c r="AF297" s="53"/>
      <c r="AG297" s="53"/>
      <c r="AH297" s="53"/>
      <c r="AI297" s="53"/>
      <c r="AJ297" s="53"/>
      <c r="AK297" s="53"/>
      <c r="AL297" s="53"/>
      <c r="AM297" s="53"/>
      <c r="AN297" s="53"/>
      <c r="AO297" s="53"/>
      <c r="AP297" s="53"/>
      <c r="AQ297" s="53"/>
      <c r="AR297" s="55"/>
      <c r="AS297" s="59"/>
    </row>
    <row r="298" spans="30:45" x14ac:dyDescent="0.25">
      <c r="AD298" s="53"/>
      <c r="AE298" s="53"/>
      <c r="AF298" s="53"/>
      <c r="AG298" s="53"/>
      <c r="AH298" s="53"/>
      <c r="AI298" s="53"/>
      <c r="AJ298" s="53"/>
      <c r="AK298" s="53"/>
      <c r="AL298" s="53"/>
      <c r="AM298" s="53"/>
      <c r="AN298" s="53"/>
      <c r="AO298" s="53"/>
      <c r="AP298" s="53"/>
      <c r="AQ298" s="53"/>
      <c r="AR298" s="55"/>
      <c r="AS298" s="59"/>
    </row>
    <row r="299" spans="30:45" x14ac:dyDescent="0.25">
      <c r="AD299" s="53"/>
      <c r="AE299" s="53"/>
      <c r="AF299" s="53"/>
      <c r="AG299" s="53"/>
      <c r="AH299" s="53"/>
      <c r="AI299" s="53"/>
      <c r="AJ299" s="53"/>
      <c r="AK299" s="53"/>
      <c r="AL299" s="53"/>
      <c r="AM299" s="53"/>
      <c r="AN299" s="53"/>
      <c r="AO299" s="53"/>
      <c r="AP299" s="53"/>
      <c r="AQ299" s="53"/>
      <c r="AR299" s="55"/>
      <c r="AS299" s="59"/>
    </row>
    <row r="300" spans="30:45" x14ac:dyDescent="0.25">
      <c r="AD300" s="53"/>
      <c r="AE300" s="53"/>
      <c r="AF300" s="53"/>
      <c r="AG300" s="53"/>
      <c r="AH300" s="53"/>
      <c r="AI300" s="53"/>
      <c r="AJ300" s="53"/>
      <c r="AK300" s="53"/>
      <c r="AL300" s="53"/>
      <c r="AM300" s="53"/>
      <c r="AN300" s="53"/>
      <c r="AO300" s="53"/>
      <c r="AP300" s="53"/>
      <c r="AQ300" s="53"/>
      <c r="AR300" s="55"/>
      <c r="AS300" s="59"/>
    </row>
    <row r="301" spans="30:45" x14ac:dyDescent="0.25">
      <c r="AD301" s="53"/>
      <c r="AE301" s="53"/>
      <c r="AF301" s="53"/>
      <c r="AG301" s="53"/>
      <c r="AH301" s="53"/>
      <c r="AI301" s="53"/>
      <c r="AJ301" s="53"/>
      <c r="AK301" s="53"/>
      <c r="AL301" s="53"/>
      <c r="AM301" s="53"/>
      <c r="AN301" s="53"/>
      <c r="AO301" s="53"/>
      <c r="AP301" s="53"/>
      <c r="AQ301" s="53"/>
      <c r="AR301" s="55"/>
      <c r="AS301" s="59"/>
    </row>
    <row r="302" spans="30:45" x14ac:dyDescent="0.25">
      <c r="AD302" s="53"/>
      <c r="AE302" s="53"/>
      <c r="AF302" s="53"/>
      <c r="AG302" s="53"/>
      <c r="AH302" s="53"/>
      <c r="AI302" s="53"/>
      <c r="AJ302" s="53"/>
      <c r="AK302" s="53"/>
      <c r="AL302" s="53"/>
      <c r="AM302" s="53"/>
      <c r="AN302" s="53"/>
      <c r="AO302" s="53"/>
      <c r="AP302" s="53"/>
      <c r="AQ302" s="53"/>
      <c r="AR302" s="55"/>
      <c r="AS302" s="59"/>
    </row>
    <row r="303" spans="30:45" x14ac:dyDescent="0.25">
      <c r="AD303" s="53"/>
      <c r="AE303" s="53"/>
      <c r="AF303" s="53"/>
      <c r="AG303" s="53"/>
      <c r="AH303" s="53"/>
      <c r="AI303" s="53"/>
      <c r="AJ303" s="53"/>
      <c r="AK303" s="53"/>
      <c r="AL303" s="53"/>
      <c r="AM303" s="53"/>
      <c r="AN303" s="53"/>
      <c r="AO303" s="53"/>
      <c r="AP303" s="53"/>
      <c r="AQ303" s="53"/>
      <c r="AR303" s="55"/>
      <c r="AS303" s="59"/>
    </row>
    <row r="304" spans="30:45" x14ac:dyDescent="0.25">
      <c r="AD304" s="53"/>
      <c r="AE304" s="53"/>
      <c r="AF304" s="53"/>
      <c r="AG304" s="53"/>
      <c r="AH304" s="53"/>
      <c r="AI304" s="53"/>
      <c r="AJ304" s="53"/>
      <c r="AK304" s="53"/>
      <c r="AL304" s="53"/>
      <c r="AM304" s="53"/>
      <c r="AN304" s="53"/>
      <c r="AO304" s="53"/>
      <c r="AP304" s="53"/>
      <c r="AQ304" s="53"/>
      <c r="AR304" s="55"/>
      <c r="AS304" s="55"/>
    </row>
    <row r="305" spans="30:45" x14ac:dyDescent="0.25">
      <c r="AD305" s="53"/>
      <c r="AE305" s="53"/>
      <c r="AF305" s="53"/>
      <c r="AG305" s="53"/>
      <c r="AH305" s="53"/>
      <c r="AI305" s="53"/>
      <c r="AJ305" s="53"/>
      <c r="AK305" s="53"/>
      <c r="AL305" s="53"/>
      <c r="AM305" s="53"/>
      <c r="AN305" s="53"/>
      <c r="AO305" s="53"/>
      <c r="AP305" s="53"/>
      <c r="AQ305" s="53"/>
      <c r="AR305" s="55"/>
      <c r="AS305" s="55"/>
    </row>
    <row r="306" spans="30:45" x14ac:dyDescent="0.25">
      <c r="AD306" s="53"/>
      <c r="AE306" s="53"/>
      <c r="AF306" s="53"/>
      <c r="AG306" s="53"/>
      <c r="AH306" s="53"/>
      <c r="AI306" s="53"/>
      <c r="AJ306" s="53"/>
      <c r="AK306" s="53"/>
      <c r="AL306" s="53"/>
      <c r="AM306" s="53"/>
      <c r="AN306" s="53"/>
      <c r="AO306" s="53"/>
      <c r="AP306" s="53"/>
      <c r="AQ306" s="53"/>
      <c r="AR306" s="56"/>
      <c r="AS306" s="56"/>
    </row>
    <row r="307" spans="30:45" x14ac:dyDescent="0.25">
      <c r="AD307" s="53"/>
      <c r="AE307" s="53"/>
      <c r="AF307" s="53"/>
      <c r="AG307" s="53"/>
      <c r="AH307" s="53"/>
      <c r="AI307" s="53"/>
      <c r="AJ307" s="53"/>
      <c r="AK307" s="53"/>
      <c r="AL307" s="53"/>
      <c r="AM307" s="53"/>
      <c r="AN307" s="53"/>
      <c r="AO307" s="53"/>
      <c r="AP307" s="53"/>
      <c r="AQ307" s="53"/>
      <c r="AR307" s="55"/>
      <c r="AS307" s="55"/>
    </row>
    <row r="308" spans="30:45" x14ac:dyDescent="0.25">
      <c r="AD308" s="53"/>
      <c r="AE308" s="53"/>
      <c r="AF308" s="53"/>
      <c r="AG308" s="53"/>
      <c r="AH308" s="53"/>
      <c r="AI308" s="53"/>
      <c r="AJ308" s="53"/>
      <c r="AK308" s="53"/>
      <c r="AL308" s="53"/>
      <c r="AM308" s="53"/>
      <c r="AN308" s="53"/>
      <c r="AO308" s="53"/>
      <c r="AP308" s="53"/>
      <c r="AQ308" s="53"/>
      <c r="AR308" s="55"/>
      <c r="AS308" s="55"/>
    </row>
    <row r="309" spans="30:45" x14ac:dyDescent="0.25">
      <c r="AD309" s="53"/>
      <c r="AE309" s="53"/>
      <c r="AF309" s="53"/>
      <c r="AG309" s="53"/>
      <c r="AH309" s="53"/>
      <c r="AI309" s="53"/>
      <c r="AJ309" s="53"/>
      <c r="AK309" s="53"/>
      <c r="AL309" s="53"/>
      <c r="AM309" s="53"/>
      <c r="AN309" s="53"/>
      <c r="AO309" s="53"/>
      <c r="AP309" s="53"/>
      <c r="AQ309" s="53"/>
      <c r="AR309" s="55"/>
      <c r="AS309" s="55"/>
    </row>
    <row r="310" spans="30:45" x14ac:dyDescent="0.25">
      <c r="AD310" s="53"/>
      <c r="AE310" s="53"/>
      <c r="AF310" s="53"/>
      <c r="AG310" s="53"/>
      <c r="AH310" s="53"/>
      <c r="AI310" s="53"/>
      <c r="AJ310" s="53"/>
      <c r="AK310" s="53"/>
      <c r="AL310" s="53"/>
      <c r="AM310" s="53"/>
      <c r="AN310" s="53"/>
      <c r="AO310" s="53"/>
      <c r="AP310" s="53"/>
      <c r="AQ310" s="53"/>
      <c r="AR310" s="56"/>
      <c r="AS310" s="56"/>
    </row>
    <row r="311" spans="30:45" x14ac:dyDescent="0.25">
      <c r="AD311" s="53"/>
      <c r="AE311" s="53"/>
      <c r="AF311" s="53"/>
      <c r="AG311" s="53"/>
      <c r="AH311" s="53"/>
      <c r="AI311" s="53"/>
      <c r="AJ311" s="53"/>
      <c r="AK311" s="53"/>
      <c r="AL311" s="53"/>
      <c r="AM311" s="53"/>
      <c r="AN311" s="53"/>
      <c r="AO311" s="53"/>
      <c r="AP311" s="53"/>
      <c r="AQ311" s="53"/>
      <c r="AR311" s="55"/>
      <c r="AS311" s="59"/>
    </row>
    <row r="312" spans="30:45" x14ac:dyDescent="0.25">
      <c r="AD312" s="53"/>
      <c r="AE312" s="53"/>
      <c r="AF312" s="53"/>
      <c r="AG312" s="53"/>
      <c r="AH312" s="53"/>
      <c r="AI312" s="53"/>
      <c r="AJ312" s="53"/>
      <c r="AK312" s="53"/>
      <c r="AL312" s="53"/>
      <c r="AM312" s="53"/>
      <c r="AN312" s="53"/>
      <c r="AO312" s="53"/>
      <c r="AP312" s="53"/>
      <c r="AQ312" s="53"/>
      <c r="AR312" s="55"/>
      <c r="AS312" s="59"/>
    </row>
    <row r="313" spans="30:45" x14ac:dyDescent="0.25">
      <c r="AD313" s="53"/>
      <c r="AE313" s="53"/>
      <c r="AF313" s="53"/>
      <c r="AG313" s="53"/>
      <c r="AH313" s="53"/>
      <c r="AI313" s="53"/>
      <c r="AJ313" s="53"/>
      <c r="AK313" s="53"/>
      <c r="AL313" s="53"/>
      <c r="AM313" s="53"/>
      <c r="AN313" s="53"/>
      <c r="AO313" s="53"/>
      <c r="AP313" s="53"/>
      <c r="AQ313" s="53"/>
      <c r="AR313" s="55"/>
      <c r="AS313" s="59"/>
    </row>
    <row r="314" spans="30:45" x14ac:dyDescent="0.25">
      <c r="AD314" s="53"/>
      <c r="AE314" s="53"/>
      <c r="AF314" s="53"/>
      <c r="AG314" s="53"/>
      <c r="AH314" s="53"/>
      <c r="AI314" s="53"/>
      <c r="AJ314" s="53"/>
      <c r="AK314" s="53"/>
      <c r="AL314" s="53"/>
      <c r="AM314" s="53"/>
      <c r="AN314" s="53"/>
      <c r="AO314" s="53"/>
      <c r="AP314" s="53"/>
      <c r="AQ314" s="53"/>
      <c r="AR314" s="55"/>
      <c r="AS314" s="59"/>
    </row>
    <row r="315" spans="30:45" x14ac:dyDescent="0.25">
      <c r="AD315" s="53"/>
      <c r="AE315" s="53"/>
      <c r="AF315" s="53"/>
      <c r="AG315" s="53"/>
      <c r="AH315" s="53"/>
      <c r="AI315" s="53"/>
      <c r="AJ315" s="53"/>
      <c r="AK315" s="53"/>
      <c r="AL315" s="53"/>
      <c r="AM315" s="53"/>
      <c r="AN315" s="53"/>
      <c r="AO315" s="53"/>
      <c r="AP315" s="53"/>
      <c r="AQ315" s="53"/>
      <c r="AR315" s="55"/>
      <c r="AS315" s="55"/>
    </row>
    <row r="316" spans="30:45" x14ac:dyDescent="0.25">
      <c r="AD316" s="53"/>
      <c r="AE316" s="53"/>
      <c r="AF316" s="53"/>
      <c r="AG316" s="53"/>
      <c r="AH316" s="53"/>
      <c r="AI316" s="53"/>
      <c r="AJ316" s="53"/>
      <c r="AK316" s="53"/>
      <c r="AL316" s="53"/>
      <c r="AM316" s="53"/>
      <c r="AN316" s="53"/>
      <c r="AO316" s="53"/>
      <c r="AP316" s="53"/>
      <c r="AQ316" s="53"/>
      <c r="AR316" s="55"/>
      <c r="AS316" s="55"/>
    </row>
    <row r="317" spans="30:45" x14ac:dyDescent="0.25">
      <c r="AD317" s="53"/>
      <c r="AE317" s="53"/>
      <c r="AF317" s="53"/>
      <c r="AG317" s="53"/>
      <c r="AH317" s="53"/>
      <c r="AI317" s="53"/>
      <c r="AJ317" s="53"/>
      <c r="AK317" s="53"/>
      <c r="AL317" s="53"/>
      <c r="AM317" s="53"/>
      <c r="AN317" s="53"/>
      <c r="AO317" s="53"/>
      <c r="AP317" s="53"/>
      <c r="AQ317" s="53"/>
      <c r="AR317" s="55"/>
      <c r="AS317" s="56"/>
    </row>
    <row r="318" spans="30:45" x14ac:dyDescent="0.25">
      <c r="AD318" s="53"/>
      <c r="AE318" s="53"/>
      <c r="AF318" s="53"/>
      <c r="AG318" s="53"/>
      <c r="AH318" s="53"/>
      <c r="AI318" s="53"/>
      <c r="AJ318" s="53"/>
      <c r="AK318" s="53"/>
      <c r="AL318" s="53"/>
      <c r="AM318" s="53"/>
      <c r="AN318" s="53"/>
      <c r="AO318" s="53"/>
      <c r="AP318" s="53"/>
      <c r="AQ318" s="53"/>
      <c r="AR318" s="55"/>
      <c r="AS318" s="56"/>
    </row>
    <row r="319" spans="30:45" x14ac:dyDescent="0.25">
      <c r="AD319" s="53"/>
      <c r="AE319" s="53"/>
      <c r="AF319" s="53"/>
      <c r="AG319" s="53"/>
      <c r="AH319" s="53"/>
      <c r="AI319" s="53"/>
      <c r="AJ319" s="53"/>
      <c r="AK319" s="53"/>
      <c r="AL319" s="53"/>
      <c r="AM319" s="53"/>
      <c r="AN319" s="53"/>
      <c r="AO319" s="53"/>
      <c r="AP319" s="53"/>
      <c r="AQ319" s="53"/>
      <c r="AR319" s="55"/>
      <c r="AS319" s="56"/>
    </row>
    <row r="320" spans="30:45" x14ac:dyDescent="0.25">
      <c r="AD320" s="53"/>
      <c r="AE320" s="53"/>
      <c r="AF320" s="53"/>
      <c r="AG320" s="53"/>
      <c r="AH320" s="53"/>
      <c r="AI320" s="53"/>
      <c r="AJ320" s="53"/>
      <c r="AK320" s="53"/>
      <c r="AL320" s="53"/>
      <c r="AM320" s="53"/>
      <c r="AN320" s="53"/>
      <c r="AO320" s="53"/>
      <c r="AP320" s="53"/>
      <c r="AQ320" s="53"/>
      <c r="AR320" s="55"/>
      <c r="AS320" s="56"/>
    </row>
    <row r="321" spans="30:45" x14ac:dyDescent="0.25">
      <c r="AD321" s="53"/>
      <c r="AE321" s="53"/>
      <c r="AF321" s="53"/>
      <c r="AG321" s="53"/>
      <c r="AH321" s="53"/>
      <c r="AI321" s="53"/>
      <c r="AJ321" s="53"/>
      <c r="AK321" s="53"/>
      <c r="AL321" s="53"/>
      <c r="AM321" s="53"/>
      <c r="AN321" s="53"/>
      <c r="AO321" s="53"/>
      <c r="AP321" s="53"/>
      <c r="AQ321" s="53"/>
      <c r="AR321" s="55"/>
      <c r="AS321" s="55"/>
    </row>
    <row r="322" spans="30:45" x14ac:dyDescent="0.25">
      <c r="AD322" s="53"/>
      <c r="AE322" s="53"/>
      <c r="AF322" s="53"/>
      <c r="AG322" s="53"/>
      <c r="AH322" s="53"/>
      <c r="AI322" s="53"/>
      <c r="AJ322" s="53"/>
      <c r="AK322" s="53"/>
      <c r="AL322" s="53"/>
      <c r="AM322" s="53"/>
      <c r="AN322" s="53"/>
      <c r="AO322" s="53"/>
      <c r="AP322" s="53"/>
      <c r="AQ322" s="53"/>
      <c r="AR322" s="55"/>
      <c r="AS322" s="55"/>
    </row>
    <row r="323" spans="30:45" x14ac:dyDescent="0.25">
      <c r="AD323" s="53"/>
      <c r="AE323" s="53"/>
      <c r="AF323" s="53"/>
      <c r="AG323" s="53"/>
      <c r="AH323" s="53"/>
      <c r="AI323" s="53"/>
      <c r="AJ323" s="53"/>
      <c r="AK323" s="53"/>
      <c r="AL323" s="53"/>
      <c r="AM323" s="53"/>
      <c r="AN323" s="53"/>
      <c r="AO323" s="53"/>
      <c r="AP323" s="53"/>
      <c r="AQ323" s="53"/>
      <c r="AR323" s="55"/>
      <c r="AS323" s="55"/>
    </row>
    <row r="324" spans="30:45" x14ac:dyDescent="0.25">
      <c r="AD324" s="53"/>
      <c r="AE324" s="53"/>
      <c r="AF324" s="53"/>
      <c r="AG324" s="53"/>
      <c r="AH324" s="53"/>
      <c r="AI324" s="53"/>
      <c r="AJ324" s="53"/>
      <c r="AK324" s="53"/>
      <c r="AL324" s="53"/>
      <c r="AM324" s="53"/>
      <c r="AN324" s="53"/>
      <c r="AO324" s="53"/>
      <c r="AP324" s="53"/>
      <c r="AQ324" s="53"/>
      <c r="AR324" s="53"/>
      <c r="AS324" s="53"/>
    </row>
    <row r="325" spans="30:45" x14ac:dyDescent="0.25">
      <c r="AD325" s="53"/>
      <c r="AE325" s="53"/>
      <c r="AF325" s="53"/>
      <c r="AG325" s="53"/>
      <c r="AH325" s="53"/>
      <c r="AI325" s="53"/>
      <c r="AJ325" s="53"/>
      <c r="AK325" s="53"/>
      <c r="AL325" s="53"/>
      <c r="AM325" s="53"/>
      <c r="AN325" s="53"/>
      <c r="AO325" s="53"/>
      <c r="AP325" s="53"/>
      <c r="AQ325" s="53"/>
      <c r="AR325" s="53"/>
      <c r="AS325" s="53"/>
    </row>
    <row r="326" spans="30:45" x14ac:dyDescent="0.25">
      <c r="AD326" s="53"/>
      <c r="AE326" s="53"/>
      <c r="AF326" s="53"/>
      <c r="AG326" s="53"/>
      <c r="AH326" s="53"/>
      <c r="AI326" s="53"/>
      <c r="AJ326" s="53"/>
      <c r="AK326" s="53"/>
      <c r="AL326" s="53"/>
      <c r="AM326" s="53"/>
      <c r="AN326" s="53"/>
      <c r="AO326" s="53"/>
      <c r="AP326" s="53"/>
      <c r="AQ326" s="53"/>
      <c r="AR326" s="53"/>
      <c r="AS326" s="53"/>
    </row>
    <row r="327" spans="30:45" x14ac:dyDescent="0.25">
      <c r="AD327" s="53"/>
      <c r="AE327" s="53"/>
      <c r="AF327" s="53"/>
      <c r="AG327" s="53"/>
      <c r="AH327" s="53"/>
      <c r="AI327" s="53"/>
      <c r="AJ327" s="53"/>
      <c r="AK327" s="53"/>
      <c r="AL327" s="53"/>
      <c r="AM327" s="53"/>
      <c r="AN327" s="53"/>
      <c r="AO327" s="53"/>
      <c r="AP327" s="53"/>
      <c r="AQ327" s="53"/>
      <c r="AR327" s="53"/>
      <c r="AS327" s="53"/>
    </row>
    <row r="328" spans="30:45" x14ac:dyDescent="0.25">
      <c r="AD328" s="53"/>
      <c r="AE328" s="53"/>
      <c r="AF328" s="53"/>
      <c r="AG328" s="53"/>
      <c r="AH328" s="53"/>
      <c r="AI328" s="53"/>
      <c r="AJ328" s="53"/>
      <c r="AK328" s="53"/>
      <c r="AL328" s="53"/>
      <c r="AM328" s="53"/>
      <c r="AN328" s="53"/>
      <c r="AO328" s="53"/>
      <c r="AP328" s="53"/>
      <c r="AQ328" s="53"/>
      <c r="AR328" s="53"/>
      <c r="AS328" s="53"/>
    </row>
    <row r="329" spans="30:45" x14ac:dyDescent="0.25">
      <c r="AD329" s="53"/>
      <c r="AE329" s="53"/>
      <c r="AF329" s="53"/>
      <c r="AG329" s="53"/>
      <c r="AH329" s="53"/>
      <c r="AI329" s="53"/>
      <c r="AJ329" s="53"/>
      <c r="AK329" s="53"/>
      <c r="AL329" s="53"/>
      <c r="AM329" s="53"/>
      <c r="AN329" s="53"/>
      <c r="AO329" s="53"/>
      <c r="AP329" s="53"/>
      <c r="AQ329" s="53"/>
      <c r="AR329" s="53"/>
      <c r="AS329" s="53"/>
    </row>
    <row r="330" spans="30:45" x14ac:dyDescent="0.25">
      <c r="AD330" s="53"/>
      <c r="AE330" s="53"/>
      <c r="AF330" s="53"/>
      <c r="AG330" s="53"/>
      <c r="AH330" s="53"/>
      <c r="AI330" s="53"/>
      <c r="AJ330" s="53"/>
      <c r="AK330" s="53"/>
      <c r="AL330" s="53"/>
      <c r="AM330" s="53"/>
      <c r="AN330" s="53"/>
      <c r="AO330" s="53"/>
      <c r="AP330" s="53"/>
      <c r="AQ330" s="53"/>
      <c r="AR330" s="53"/>
      <c r="AS330" s="53"/>
    </row>
    <row r="331" spans="30:45" x14ac:dyDescent="0.25">
      <c r="AD331" s="53"/>
      <c r="AE331" s="53"/>
      <c r="AF331" s="53"/>
      <c r="AG331" s="53"/>
      <c r="AH331" s="53"/>
      <c r="AI331" s="53"/>
      <c r="AJ331" s="53"/>
      <c r="AK331" s="53"/>
      <c r="AL331" s="53"/>
      <c r="AM331" s="53"/>
      <c r="AN331" s="53"/>
      <c r="AO331" s="53"/>
      <c r="AP331" s="53"/>
      <c r="AQ331" s="53"/>
      <c r="AR331" s="53"/>
      <c r="AS331" s="53"/>
    </row>
    <row r="332" spans="30:45" x14ac:dyDescent="0.25">
      <c r="AD332" s="53"/>
      <c r="AE332" s="53"/>
      <c r="AF332" s="53"/>
      <c r="AG332" s="53"/>
      <c r="AH332" s="53"/>
      <c r="AI332" s="53"/>
      <c r="AJ332" s="53"/>
      <c r="AK332" s="53"/>
      <c r="AL332" s="53"/>
      <c r="AM332" s="53"/>
      <c r="AN332" s="53"/>
      <c r="AO332" s="53"/>
      <c r="AP332" s="53"/>
      <c r="AQ332" s="53"/>
      <c r="AR332" s="53"/>
      <c r="AS332" s="53"/>
    </row>
    <row r="333" spans="30:45" x14ac:dyDescent="0.25">
      <c r="AD333" s="53"/>
      <c r="AE333" s="53"/>
      <c r="AF333" s="53"/>
      <c r="AG333" s="53"/>
      <c r="AH333" s="53"/>
      <c r="AI333" s="53"/>
      <c r="AJ333" s="53"/>
      <c r="AK333" s="53"/>
      <c r="AL333" s="53"/>
      <c r="AM333" s="53"/>
      <c r="AN333" s="53"/>
      <c r="AO333" s="53"/>
      <c r="AP333" s="53"/>
      <c r="AQ333" s="53"/>
      <c r="AR333" s="53"/>
      <c r="AS333" s="53"/>
    </row>
    <row r="334" spans="30:45" x14ac:dyDescent="0.25">
      <c r="AD334" s="53"/>
      <c r="AE334" s="53"/>
      <c r="AF334" s="53"/>
      <c r="AG334" s="53"/>
      <c r="AH334" s="53"/>
      <c r="AI334" s="53"/>
      <c r="AJ334" s="53"/>
      <c r="AK334" s="53"/>
      <c r="AL334" s="53"/>
      <c r="AM334" s="53"/>
      <c r="AN334" s="53"/>
      <c r="AO334" s="53"/>
      <c r="AP334" s="53"/>
      <c r="AQ334" s="53"/>
      <c r="AR334" s="53"/>
      <c r="AS334" s="53"/>
    </row>
    <row r="335" spans="30:45" x14ac:dyDescent="0.25">
      <c r="AD335" s="53"/>
      <c r="AE335" s="53"/>
      <c r="AF335" s="53"/>
      <c r="AG335" s="53"/>
      <c r="AH335" s="53"/>
      <c r="AI335" s="53"/>
      <c r="AJ335" s="53"/>
      <c r="AK335" s="53"/>
      <c r="AL335" s="53"/>
      <c r="AM335" s="53"/>
      <c r="AN335" s="53"/>
      <c r="AO335" s="53"/>
      <c r="AP335" s="53"/>
      <c r="AQ335" s="53"/>
      <c r="AR335" s="53"/>
      <c r="AS335" s="53"/>
    </row>
    <row r="336" spans="30:45" x14ac:dyDescent="0.25">
      <c r="AD336" s="53"/>
      <c r="AE336" s="53"/>
      <c r="AF336" s="53"/>
      <c r="AG336" s="53"/>
      <c r="AH336" s="53"/>
      <c r="AI336" s="53"/>
      <c r="AJ336" s="53"/>
      <c r="AK336" s="53"/>
      <c r="AL336" s="53"/>
      <c r="AM336" s="53"/>
      <c r="AN336" s="53"/>
      <c r="AO336" s="53"/>
      <c r="AP336" s="53"/>
      <c r="AQ336" s="53"/>
      <c r="AR336" s="53"/>
      <c r="AS336" s="53"/>
    </row>
    <row r="337" spans="30:45" x14ac:dyDescent="0.25">
      <c r="AD337" s="53"/>
      <c r="AE337" s="53"/>
      <c r="AF337" s="53"/>
      <c r="AG337" s="53"/>
      <c r="AH337" s="53"/>
      <c r="AI337" s="53"/>
      <c r="AJ337" s="53"/>
      <c r="AK337" s="53"/>
      <c r="AL337" s="53"/>
      <c r="AM337" s="53"/>
      <c r="AN337" s="53"/>
      <c r="AO337" s="53"/>
      <c r="AP337" s="53"/>
      <c r="AQ337" s="53"/>
      <c r="AR337" s="53"/>
      <c r="AS337" s="53"/>
    </row>
    <row r="338" spans="30:45" x14ac:dyDescent="0.25">
      <c r="AD338" s="53"/>
      <c r="AE338" s="53"/>
      <c r="AF338" s="53"/>
      <c r="AG338" s="53"/>
      <c r="AH338" s="53"/>
      <c r="AI338" s="53"/>
      <c r="AJ338" s="53"/>
      <c r="AK338" s="53"/>
      <c r="AL338" s="53"/>
      <c r="AM338" s="53"/>
      <c r="AN338" s="53"/>
      <c r="AO338" s="53"/>
      <c r="AP338" s="53"/>
      <c r="AQ338" s="53"/>
      <c r="AR338" s="53"/>
      <c r="AS338" s="53"/>
    </row>
    <row r="339" spans="30:45" x14ac:dyDescent="0.25">
      <c r="AD339" s="53"/>
      <c r="AE339" s="53"/>
      <c r="AF339" s="53"/>
      <c r="AG339" s="53"/>
      <c r="AH339" s="53"/>
      <c r="AI339" s="53"/>
      <c r="AJ339" s="53"/>
      <c r="AK339" s="53"/>
      <c r="AL339" s="53"/>
      <c r="AM339" s="53"/>
      <c r="AN339" s="53"/>
      <c r="AO339" s="53"/>
      <c r="AP339" s="53"/>
      <c r="AQ339" s="53"/>
      <c r="AR339" s="53"/>
      <c r="AS339" s="53"/>
    </row>
    <row r="340" spans="30:45" x14ac:dyDescent="0.25">
      <c r="AD340" s="53"/>
      <c r="AE340" s="53"/>
      <c r="AF340" s="53"/>
      <c r="AG340" s="53"/>
      <c r="AH340" s="53"/>
      <c r="AI340" s="53"/>
      <c r="AJ340" s="53"/>
      <c r="AK340" s="53"/>
      <c r="AL340" s="53"/>
      <c r="AM340" s="53"/>
      <c r="AN340" s="53"/>
      <c r="AO340" s="53"/>
      <c r="AP340" s="53"/>
      <c r="AQ340" s="53"/>
      <c r="AR340" s="53"/>
      <c r="AS340" s="53"/>
    </row>
    <row r="341" spans="30:45" x14ac:dyDescent="0.25">
      <c r="AD341" s="53"/>
      <c r="AE341" s="53"/>
      <c r="AF341" s="53"/>
      <c r="AG341" s="53"/>
      <c r="AH341" s="53"/>
      <c r="AI341" s="53"/>
      <c r="AJ341" s="53"/>
      <c r="AK341" s="53"/>
      <c r="AL341" s="53"/>
      <c r="AM341" s="53"/>
      <c r="AN341" s="53"/>
      <c r="AO341" s="53"/>
      <c r="AP341" s="53"/>
      <c r="AQ341" s="53"/>
      <c r="AR341" s="53"/>
      <c r="AS341" s="53"/>
    </row>
    <row r="342" spans="30:45" x14ac:dyDescent="0.25">
      <c r="AD342" s="53"/>
      <c r="AE342" s="53"/>
      <c r="AF342" s="53"/>
      <c r="AG342" s="53"/>
      <c r="AH342" s="53"/>
      <c r="AI342" s="53"/>
      <c r="AJ342" s="53"/>
      <c r="AK342" s="53"/>
      <c r="AL342" s="53"/>
      <c r="AM342" s="53"/>
      <c r="AN342" s="53"/>
      <c r="AO342" s="53"/>
      <c r="AP342" s="53"/>
      <c r="AQ342" s="53"/>
      <c r="AR342" s="53"/>
      <c r="AS342" s="53"/>
    </row>
    <row r="343" spans="30:45" x14ac:dyDescent="0.25">
      <c r="AD343" s="53"/>
      <c r="AE343" s="53"/>
      <c r="AF343" s="53"/>
      <c r="AG343" s="53"/>
      <c r="AH343" s="53"/>
      <c r="AI343" s="53"/>
      <c r="AJ343" s="53"/>
      <c r="AK343" s="53"/>
      <c r="AL343" s="53"/>
      <c r="AM343" s="53"/>
      <c r="AN343" s="53"/>
      <c r="AO343" s="53"/>
      <c r="AP343" s="53"/>
      <c r="AQ343" s="53"/>
      <c r="AR343" s="53"/>
      <c r="AS343" s="53"/>
    </row>
    <row r="344" spans="30:45" x14ac:dyDescent="0.25">
      <c r="AD344" s="53"/>
      <c r="AE344" s="53"/>
      <c r="AF344" s="53"/>
      <c r="AG344" s="53"/>
      <c r="AH344" s="53"/>
      <c r="AI344" s="53"/>
      <c r="AJ344" s="53"/>
      <c r="AK344" s="53"/>
      <c r="AL344" s="53"/>
      <c r="AM344" s="53"/>
      <c r="AN344" s="53"/>
      <c r="AO344" s="53"/>
      <c r="AP344" s="53"/>
      <c r="AQ344" s="53"/>
      <c r="AR344" s="53"/>
      <c r="AS344" s="53"/>
    </row>
    <row r="345" spans="30:45" x14ac:dyDescent="0.25">
      <c r="AD345" s="53"/>
      <c r="AE345" s="53"/>
      <c r="AF345" s="53"/>
      <c r="AG345" s="53"/>
      <c r="AH345" s="53"/>
      <c r="AI345" s="53"/>
      <c r="AJ345" s="53"/>
      <c r="AK345" s="53"/>
      <c r="AL345" s="53"/>
      <c r="AM345" s="53"/>
      <c r="AN345" s="53"/>
      <c r="AO345" s="53"/>
      <c r="AP345" s="53"/>
      <c r="AQ345" s="53"/>
      <c r="AR345" s="53"/>
      <c r="AS345" s="53"/>
    </row>
    <row r="346" spans="30:45" x14ac:dyDescent="0.25">
      <c r="AD346" s="53"/>
      <c r="AE346" s="53"/>
      <c r="AF346" s="53"/>
      <c r="AG346" s="53"/>
      <c r="AH346" s="53"/>
      <c r="AI346" s="53"/>
      <c r="AJ346" s="53"/>
      <c r="AK346" s="53"/>
      <c r="AL346" s="53"/>
      <c r="AM346" s="53"/>
      <c r="AN346" s="53"/>
      <c r="AO346" s="53"/>
      <c r="AP346" s="53"/>
      <c r="AQ346" s="53"/>
      <c r="AR346" s="53"/>
      <c r="AS346" s="53"/>
    </row>
    <row r="347" spans="30:45" x14ac:dyDescent="0.25">
      <c r="AD347" s="53"/>
      <c r="AE347" s="53"/>
      <c r="AF347" s="53"/>
      <c r="AG347" s="53"/>
      <c r="AH347" s="53"/>
      <c r="AI347" s="53"/>
      <c r="AJ347" s="53"/>
      <c r="AK347" s="53"/>
      <c r="AL347" s="53"/>
      <c r="AM347" s="53"/>
      <c r="AN347" s="53"/>
      <c r="AO347" s="53"/>
      <c r="AP347" s="53"/>
      <c r="AQ347" s="53"/>
      <c r="AR347" s="53"/>
      <c r="AS347" s="53"/>
    </row>
    <row r="348" spans="30:45" x14ac:dyDescent="0.25">
      <c r="AD348" s="53"/>
      <c r="AE348" s="53"/>
      <c r="AF348" s="53"/>
      <c r="AG348" s="53"/>
      <c r="AH348" s="53"/>
      <c r="AI348" s="53"/>
      <c r="AJ348" s="53"/>
      <c r="AK348" s="53"/>
      <c r="AL348" s="53"/>
      <c r="AM348" s="53"/>
      <c r="AN348" s="53"/>
      <c r="AO348" s="53"/>
      <c r="AP348" s="53"/>
      <c r="AQ348" s="53"/>
      <c r="AR348" s="53"/>
      <c r="AS348" s="53"/>
    </row>
    <row r="349" spans="30:45" x14ac:dyDescent="0.25">
      <c r="AD349" s="53"/>
      <c r="AE349" s="53"/>
      <c r="AF349" s="53"/>
      <c r="AG349" s="53"/>
      <c r="AH349" s="53"/>
      <c r="AI349" s="53"/>
      <c r="AJ349" s="53"/>
      <c r="AK349" s="53"/>
      <c r="AL349" s="53"/>
      <c r="AM349" s="53"/>
      <c r="AN349" s="53"/>
      <c r="AO349" s="53"/>
      <c r="AP349" s="53"/>
      <c r="AQ349" s="53"/>
      <c r="AR349" s="53"/>
      <c r="AS349" s="53"/>
    </row>
    <row r="350" spans="30:45" x14ac:dyDescent="0.25">
      <c r="AD350" s="53"/>
      <c r="AE350" s="53"/>
      <c r="AF350" s="53"/>
      <c r="AG350" s="53"/>
      <c r="AH350" s="53"/>
      <c r="AI350" s="53"/>
      <c r="AJ350" s="53"/>
      <c r="AK350" s="53"/>
      <c r="AL350" s="53"/>
      <c r="AM350" s="53"/>
      <c r="AN350" s="53"/>
      <c r="AO350" s="53"/>
      <c r="AP350" s="53"/>
      <c r="AQ350" s="53"/>
      <c r="AR350" s="53"/>
      <c r="AS350" s="53"/>
    </row>
    <row r="351" spans="30:45" x14ac:dyDescent="0.25">
      <c r="AD351" s="53"/>
      <c r="AE351" s="53"/>
      <c r="AF351" s="53"/>
      <c r="AG351" s="53"/>
      <c r="AH351" s="53"/>
      <c r="AI351" s="53"/>
      <c r="AJ351" s="53"/>
      <c r="AK351" s="53"/>
      <c r="AL351" s="53"/>
      <c r="AM351" s="53"/>
      <c r="AN351" s="53"/>
      <c r="AO351" s="53"/>
      <c r="AP351" s="53"/>
      <c r="AQ351" s="53"/>
      <c r="AR351" s="53"/>
      <c r="AS351" s="53"/>
    </row>
    <row r="352" spans="30:45" x14ac:dyDescent="0.25">
      <c r="AD352" s="53"/>
      <c r="AE352" s="53"/>
      <c r="AF352" s="53"/>
      <c r="AG352" s="53"/>
      <c r="AH352" s="53"/>
      <c r="AI352" s="53"/>
      <c r="AJ352" s="53"/>
      <c r="AK352" s="53"/>
      <c r="AL352" s="53"/>
      <c r="AM352" s="53"/>
      <c r="AN352" s="53"/>
      <c r="AO352" s="53"/>
      <c r="AP352" s="53"/>
      <c r="AQ352" s="53"/>
      <c r="AR352" s="53"/>
      <c r="AS352" s="53"/>
    </row>
    <row r="353" spans="30:45" x14ac:dyDescent="0.25">
      <c r="AD353" s="53"/>
      <c r="AE353" s="53"/>
      <c r="AF353" s="53"/>
      <c r="AG353" s="53"/>
      <c r="AH353" s="53"/>
      <c r="AI353" s="53"/>
      <c r="AJ353" s="53"/>
      <c r="AK353" s="53"/>
      <c r="AL353" s="53"/>
      <c r="AM353" s="53"/>
      <c r="AN353" s="53"/>
      <c r="AO353" s="53"/>
      <c r="AP353" s="53"/>
      <c r="AQ353" s="53"/>
      <c r="AR353" s="53"/>
      <c r="AS353" s="53"/>
    </row>
    <row r="354" spans="30:45" x14ac:dyDescent="0.25">
      <c r="AD354" s="53"/>
      <c r="AE354" s="53"/>
      <c r="AF354" s="53"/>
      <c r="AG354" s="53"/>
      <c r="AH354" s="53"/>
      <c r="AI354" s="53"/>
      <c r="AJ354" s="53"/>
      <c r="AK354" s="53"/>
      <c r="AL354" s="53"/>
      <c r="AM354" s="53"/>
      <c r="AN354" s="53"/>
      <c r="AO354" s="53"/>
      <c r="AP354" s="53"/>
      <c r="AQ354" s="53"/>
      <c r="AR354" s="53"/>
      <c r="AS354" s="53"/>
    </row>
    <row r="355" spans="30:45" x14ac:dyDescent="0.25">
      <c r="AD355" s="53"/>
      <c r="AE355" s="53"/>
      <c r="AF355" s="53"/>
      <c r="AG355" s="53"/>
      <c r="AH355" s="53"/>
      <c r="AI355" s="53"/>
      <c r="AJ355" s="53"/>
      <c r="AK355" s="53"/>
      <c r="AL355" s="53"/>
      <c r="AM355" s="53"/>
      <c r="AN355" s="53"/>
      <c r="AO355" s="53"/>
      <c r="AP355" s="53"/>
      <c r="AQ355" s="53"/>
      <c r="AR355" s="53"/>
      <c r="AS355" s="53"/>
    </row>
    <row r="356" spans="30:45" x14ac:dyDescent="0.25">
      <c r="AD356" s="53"/>
      <c r="AE356" s="53"/>
      <c r="AF356" s="53"/>
      <c r="AG356" s="53"/>
      <c r="AH356" s="53"/>
      <c r="AI356" s="53"/>
      <c r="AJ356" s="53"/>
      <c r="AK356" s="53"/>
      <c r="AL356" s="53"/>
      <c r="AM356" s="53"/>
      <c r="AN356" s="53"/>
      <c r="AO356" s="53"/>
      <c r="AP356" s="53"/>
      <c r="AQ356" s="53"/>
      <c r="AR356" s="53"/>
      <c r="AS356" s="53"/>
    </row>
    <row r="357" spans="30:45" x14ac:dyDescent="0.25">
      <c r="AD357" s="53"/>
      <c r="AE357" s="53"/>
      <c r="AF357" s="53"/>
      <c r="AG357" s="53"/>
      <c r="AH357" s="53"/>
      <c r="AI357" s="53"/>
      <c r="AJ357" s="53"/>
      <c r="AK357" s="53"/>
      <c r="AL357" s="53"/>
      <c r="AM357" s="53"/>
      <c r="AN357" s="53"/>
      <c r="AO357" s="53"/>
      <c r="AP357" s="53"/>
      <c r="AQ357" s="53"/>
      <c r="AR357" s="53"/>
      <c r="AS357" s="53"/>
    </row>
    <row r="358" spans="30:45" x14ac:dyDescent="0.25">
      <c r="AD358" s="53"/>
      <c r="AE358" s="53"/>
      <c r="AF358" s="53"/>
      <c r="AG358" s="53"/>
      <c r="AH358" s="53"/>
      <c r="AI358" s="53"/>
      <c r="AJ358" s="53"/>
      <c r="AK358" s="53"/>
      <c r="AL358" s="53"/>
      <c r="AM358" s="53"/>
      <c r="AN358" s="53"/>
      <c r="AO358" s="53"/>
      <c r="AP358" s="53"/>
      <c r="AQ358" s="53"/>
      <c r="AR358" s="53"/>
      <c r="AS358" s="53"/>
    </row>
    <row r="359" spans="30:45" x14ac:dyDescent="0.25">
      <c r="AD359" s="53"/>
      <c r="AE359" s="53"/>
      <c r="AF359" s="53"/>
      <c r="AG359" s="53"/>
      <c r="AH359" s="53"/>
      <c r="AI359" s="53"/>
      <c r="AJ359" s="53"/>
      <c r="AK359" s="53"/>
      <c r="AL359" s="53"/>
      <c r="AM359" s="53"/>
      <c r="AN359" s="53"/>
      <c r="AO359" s="53"/>
      <c r="AP359" s="53"/>
      <c r="AQ359" s="53"/>
      <c r="AR359" s="53"/>
      <c r="AS359" s="53"/>
    </row>
    <row r="360" spans="30:45" x14ac:dyDescent="0.25">
      <c r="AD360" s="53"/>
      <c r="AE360" s="53"/>
      <c r="AF360" s="53"/>
      <c r="AG360" s="53"/>
      <c r="AH360" s="53"/>
      <c r="AI360" s="53"/>
      <c r="AJ360" s="53"/>
      <c r="AK360" s="53"/>
      <c r="AL360" s="53"/>
      <c r="AM360" s="53"/>
      <c r="AN360" s="53"/>
      <c r="AO360" s="53"/>
      <c r="AP360" s="53"/>
      <c r="AQ360" s="53"/>
      <c r="AR360" s="53"/>
      <c r="AS360" s="53"/>
    </row>
    <row r="361" spans="30:45" x14ac:dyDescent="0.25">
      <c r="AD361" s="53"/>
      <c r="AE361" s="53"/>
      <c r="AF361" s="53"/>
      <c r="AG361" s="53"/>
      <c r="AH361" s="53"/>
      <c r="AI361" s="53"/>
      <c r="AJ361" s="53"/>
      <c r="AK361" s="53"/>
      <c r="AL361" s="53"/>
      <c r="AM361" s="53"/>
      <c r="AN361" s="53"/>
      <c r="AO361" s="53"/>
      <c r="AP361" s="53"/>
      <c r="AQ361" s="53"/>
      <c r="AR361" s="53"/>
      <c r="AS361" s="53"/>
    </row>
    <row r="362" spans="30:45" x14ac:dyDescent="0.25">
      <c r="AD362" s="53"/>
      <c r="AE362" s="53"/>
      <c r="AF362" s="53"/>
      <c r="AG362" s="53"/>
      <c r="AH362" s="53"/>
      <c r="AI362" s="53"/>
      <c r="AJ362" s="53"/>
      <c r="AK362" s="53"/>
      <c r="AL362" s="53"/>
      <c r="AM362" s="53"/>
      <c r="AN362" s="53"/>
      <c r="AO362" s="53"/>
      <c r="AP362" s="53"/>
      <c r="AQ362" s="53"/>
      <c r="AR362" s="53"/>
      <c r="AS362" s="53"/>
    </row>
    <row r="363" spans="30:45" x14ac:dyDescent="0.25">
      <c r="AD363" s="53"/>
      <c r="AE363" s="53"/>
      <c r="AF363" s="53"/>
      <c r="AG363" s="53"/>
      <c r="AH363" s="53"/>
      <c r="AI363" s="53"/>
      <c r="AJ363" s="53"/>
      <c r="AK363" s="53"/>
      <c r="AL363" s="53"/>
      <c r="AM363" s="53"/>
      <c r="AN363" s="53"/>
      <c r="AO363" s="53"/>
      <c r="AP363" s="53"/>
      <c r="AQ363" s="53"/>
      <c r="AR363" s="53"/>
      <c r="AS363" s="53"/>
    </row>
    <row r="364" spans="30:45" x14ac:dyDescent="0.25">
      <c r="AD364" s="53"/>
      <c r="AE364" s="53"/>
      <c r="AF364" s="53"/>
      <c r="AG364" s="53"/>
      <c r="AH364" s="53"/>
      <c r="AI364" s="53"/>
      <c r="AJ364" s="53"/>
      <c r="AK364" s="53"/>
      <c r="AL364" s="53"/>
      <c r="AM364" s="53"/>
      <c r="AN364" s="53"/>
      <c r="AO364" s="53"/>
      <c r="AP364" s="53"/>
      <c r="AQ364" s="53"/>
      <c r="AR364" s="53"/>
      <c r="AS364" s="53"/>
    </row>
    <row r="365" spans="30:45" x14ac:dyDescent="0.25">
      <c r="AD365" s="53"/>
      <c r="AE365" s="53"/>
      <c r="AF365" s="53"/>
      <c r="AG365" s="53"/>
      <c r="AH365" s="53"/>
      <c r="AI365" s="53"/>
      <c r="AJ365" s="53"/>
      <c r="AK365" s="53"/>
      <c r="AL365" s="53"/>
      <c r="AM365" s="53"/>
      <c r="AN365" s="53"/>
      <c r="AO365" s="53"/>
      <c r="AP365" s="53"/>
      <c r="AQ365" s="53"/>
      <c r="AR365" s="53"/>
      <c r="AS365" s="53"/>
    </row>
    <row r="366" spans="30:45" x14ac:dyDescent="0.25">
      <c r="AD366" s="53"/>
      <c r="AE366" s="53"/>
      <c r="AF366" s="53"/>
      <c r="AG366" s="53"/>
      <c r="AH366" s="53"/>
      <c r="AI366" s="53"/>
      <c r="AJ366" s="53"/>
      <c r="AK366" s="53"/>
      <c r="AL366" s="53"/>
      <c r="AM366" s="53"/>
      <c r="AN366" s="53"/>
      <c r="AO366" s="53"/>
      <c r="AP366" s="53"/>
      <c r="AQ366" s="53"/>
      <c r="AR366" s="53"/>
      <c r="AS366" s="53"/>
    </row>
    <row r="367" spans="30:45" x14ac:dyDescent="0.25">
      <c r="AD367" s="53"/>
      <c r="AE367" s="53"/>
      <c r="AF367" s="53"/>
      <c r="AG367" s="53"/>
      <c r="AH367" s="53"/>
      <c r="AI367" s="53"/>
      <c r="AJ367" s="53"/>
      <c r="AK367" s="53"/>
      <c r="AL367" s="53"/>
      <c r="AM367" s="53"/>
      <c r="AN367" s="53"/>
      <c r="AO367" s="53"/>
      <c r="AP367" s="53"/>
      <c r="AQ367" s="53"/>
      <c r="AR367" s="53"/>
      <c r="AS367" s="53"/>
    </row>
    <row r="368" spans="30:45" x14ac:dyDescent="0.25">
      <c r="AD368" s="53"/>
      <c r="AE368" s="53"/>
      <c r="AF368" s="53"/>
      <c r="AG368" s="53"/>
      <c r="AH368" s="53"/>
      <c r="AI368" s="53"/>
      <c r="AJ368" s="53"/>
      <c r="AK368" s="53"/>
      <c r="AL368" s="53"/>
      <c r="AM368" s="53"/>
      <c r="AN368" s="53"/>
      <c r="AO368" s="53"/>
      <c r="AP368" s="53"/>
      <c r="AQ368" s="53"/>
      <c r="AR368" s="53"/>
      <c r="AS368" s="53"/>
    </row>
    <row r="369" spans="30:45" x14ac:dyDescent="0.25">
      <c r="AD369" s="53"/>
      <c r="AE369" s="53"/>
      <c r="AF369" s="53"/>
      <c r="AG369" s="53"/>
      <c r="AH369" s="53"/>
      <c r="AI369" s="53"/>
      <c r="AJ369" s="53"/>
      <c r="AK369" s="53"/>
      <c r="AL369" s="53"/>
      <c r="AM369" s="53"/>
      <c r="AN369" s="53"/>
      <c r="AO369" s="53"/>
      <c r="AP369" s="53"/>
      <c r="AQ369" s="53"/>
      <c r="AR369" s="53"/>
      <c r="AS369" s="53"/>
    </row>
    <row r="370" spans="30:45" x14ac:dyDescent="0.25">
      <c r="AD370" s="53"/>
      <c r="AE370" s="53"/>
      <c r="AF370" s="53"/>
      <c r="AG370" s="53"/>
      <c r="AH370" s="53"/>
      <c r="AI370" s="53"/>
      <c r="AJ370" s="53"/>
      <c r="AK370" s="53"/>
      <c r="AL370" s="53"/>
      <c r="AM370" s="53"/>
      <c r="AN370" s="53"/>
      <c r="AO370" s="53"/>
      <c r="AP370" s="53"/>
      <c r="AQ370" s="53"/>
      <c r="AR370" s="53"/>
      <c r="AS370" s="53"/>
    </row>
    <row r="371" spans="30:45" x14ac:dyDescent="0.25">
      <c r="AD371" s="53"/>
      <c r="AE371" s="53"/>
      <c r="AF371" s="53"/>
      <c r="AG371" s="53"/>
      <c r="AH371" s="53"/>
      <c r="AI371" s="53"/>
      <c r="AJ371" s="53"/>
      <c r="AK371" s="53"/>
      <c r="AL371" s="53"/>
      <c r="AM371" s="53"/>
      <c r="AN371" s="53"/>
      <c r="AO371" s="53"/>
      <c r="AP371" s="53"/>
      <c r="AQ371" s="53"/>
      <c r="AR371" s="53"/>
      <c r="AS371" s="53"/>
    </row>
    <row r="372" spans="30:45" x14ac:dyDescent="0.25">
      <c r="AD372" s="53"/>
      <c r="AE372" s="53"/>
      <c r="AF372" s="53"/>
      <c r="AG372" s="53"/>
      <c r="AH372" s="53"/>
      <c r="AI372" s="53"/>
      <c r="AJ372" s="53"/>
      <c r="AK372" s="53"/>
      <c r="AL372" s="53"/>
      <c r="AM372" s="53"/>
      <c r="AN372" s="53"/>
      <c r="AO372" s="53"/>
      <c r="AP372" s="53"/>
      <c r="AQ372" s="53"/>
      <c r="AR372" s="53"/>
      <c r="AS372" s="53"/>
    </row>
    <row r="373" spans="30:45" x14ac:dyDescent="0.25">
      <c r="AD373" s="53"/>
      <c r="AE373" s="53"/>
      <c r="AF373" s="53"/>
      <c r="AG373" s="53"/>
      <c r="AH373" s="53"/>
      <c r="AI373" s="53"/>
      <c r="AJ373" s="53"/>
      <c r="AK373" s="53"/>
      <c r="AL373" s="53"/>
      <c r="AM373" s="53"/>
      <c r="AN373" s="53"/>
      <c r="AO373" s="53"/>
      <c r="AP373" s="53"/>
      <c r="AQ373" s="53"/>
      <c r="AR373" s="53"/>
      <c r="AS373" s="53"/>
    </row>
    <row r="374" spans="30:45" x14ac:dyDescent="0.25">
      <c r="AD374" s="53"/>
      <c r="AE374" s="53"/>
      <c r="AF374" s="53"/>
      <c r="AG374" s="53"/>
      <c r="AH374" s="53"/>
      <c r="AI374" s="53"/>
      <c r="AJ374" s="53"/>
      <c r="AK374" s="53"/>
      <c r="AL374" s="53"/>
      <c r="AM374" s="53"/>
      <c r="AN374" s="53"/>
      <c r="AO374" s="53"/>
      <c r="AP374" s="53"/>
      <c r="AQ374" s="53"/>
      <c r="AR374" s="53"/>
      <c r="AS374" s="53"/>
    </row>
    <row r="375" spans="30:45" x14ac:dyDescent="0.25">
      <c r="AD375" s="53"/>
      <c r="AE375" s="53"/>
      <c r="AF375" s="53"/>
      <c r="AG375" s="53"/>
      <c r="AH375" s="53"/>
      <c r="AI375" s="53"/>
      <c r="AJ375" s="53"/>
      <c r="AK375" s="53"/>
      <c r="AL375" s="53"/>
      <c r="AM375" s="53"/>
      <c r="AN375" s="53"/>
      <c r="AO375" s="53"/>
      <c r="AP375" s="53"/>
      <c r="AQ375" s="53"/>
      <c r="AR375" s="53"/>
      <c r="AS375" s="53"/>
    </row>
    <row r="376" spans="30:45" x14ac:dyDescent="0.25">
      <c r="AD376" s="53"/>
      <c r="AE376" s="53"/>
      <c r="AF376" s="53"/>
      <c r="AG376" s="53"/>
      <c r="AH376" s="53"/>
      <c r="AI376" s="53"/>
      <c r="AJ376" s="53"/>
      <c r="AK376" s="53"/>
      <c r="AL376" s="53"/>
      <c r="AM376" s="53"/>
      <c r="AN376" s="53"/>
      <c r="AO376" s="53"/>
      <c r="AP376" s="53"/>
      <c r="AQ376" s="53"/>
      <c r="AR376" s="53"/>
      <c r="AS376" s="53"/>
    </row>
    <row r="377" spans="30:45" x14ac:dyDescent="0.25">
      <c r="AD377" s="53"/>
      <c r="AE377" s="53"/>
      <c r="AF377" s="53"/>
      <c r="AG377" s="53"/>
      <c r="AH377" s="53"/>
      <c r="AI377" s="53"/>
      <c r="AJ377" s="53"/>
      <c r="AK377" s="53"/>
      <c r="AL377" s="53"/>
      <c r="AM377" s="53"/>
      <c r="AN377" s="53"/>
      <c r="AO377" s="53"/>
      <c r="AP377" s="53"/>
      <c r="AQ377" s="53"/>
      <c r="AR377" s="53"/>
      <c r="AS377" s="53"/>
    </row>
    <row r="378" spans="30:45" x14ac:dyDescent="0.25">
      <c r="AD378" s="53"/>
      <c r="AE378" s="53"/>
      <c r="AF378" s="53"/>
      <c r="AG378" s="53"/>
      <c r="AH378" s="53"/>
      <c r="AI378" s="53"/>
      <c r="AJ378" s="53"/>
      <c r="AK378" s="53"/>
      <c r="AL378" s="53"/>
      <c r="AM378" s="53"/>
      <c r="AN378" s="53"/>
      <c r="AO378" s="53"/>
      <c r="AP378" s="53"/>
      <c r="AQ378" s="53"/>
      <c r="AR378" s="53"/>
      <c r="AS378" s="53"/>
    </row>
    <row r="379" spans="30:45" x14ac:dyDescent="0.25">
      <c r="AD379" s="53"/>
      <c r="AE379" s="53"/>
      <c r="AF379" s="53"/>
      <c r="AG379" s="53"/>
      <c r="AH379" s="53"/>
      <c r="AI379" s="53"/>
      <c r="AJ379" s="53"/>
      <c r="AK379" s="53"/>
      <c r="AL379" s="53"/>
      <c r="AM379" s="53"/>
      <c r="AN379" s="53"/>
      <c r="AO379" s="53"/>
      <c r="AP379" s="53"/>
      <c r="AQ379" s="53"/>
      <c r="AR379" s="53"/>
      <c r="AS379" s="53"/>
    </row>
    <row r="380" spans="30:45" x14ac:dyDescent="0.25">
      <c r="AD380" s="53"/>
      <c r="AE380" s="53"/>
      <c r="AF380" s="53"/>
      <c r="AG380" s="53"/>
      <c r="AH380" s="53"/>
      <c r="AI380" s="53"/>
      <c r="AJ380" s="53"/>
      <c r="AK380" s="53"/>
      <c r="AL380" s="53"/>
      <c r="AM380" s="53"/>
      <c r="AN380" s="53"/>
      <c r="AO380" s="53"/>
      <c r="AP380" s="53"/>
      <c r="AQ380" s="53"/>
      <c r="AR380" s="53"/>
      <c r="AS380" s="53"/>
    </row>
    <row r="381" spans="30:45" x14ac:dyDescent="0.25">
      <c r="AD381" s="53"/>
      <c r="AE381" s="53"/>
      <c r="AF381" s="53"/>
      <c r="AG381" s="53"/>
      <c r="AH381" s="53"/>
      <c r="AI381" s="53"/>
      <c r="AJ381" s="53"/>
      <c r="AK381" s="53"/>
      <c r="AL381" s="53"/>
      <c r="AM381" s="53"/>
      <c r="AN381" s="53"/>
      <c r="AO381" s="53"/>
      <c r="AP381" s="53"/>
      <c r="AQ381" s="53"/>
      <c r="AR381" s="53"/>
      <c r="AS381" s="53"/>
    </row>
    <row r="382" spans="30:45" x14ac:dyDescent="0.25">
      <c r="AD382" s="53"/>
      <c r="AE382" s="53"/>
      <c r="AF382" s="53"/>
      <c r="AG382" s="53"/>
      <c r="AH382" s="53"/>
      <c r="AI382" s="53"/>
      <c r="AJ382" s="53"/>
      <c r="AK382" s="53"/>
      <c r="AL382" s="53"/>
      <c r="AM382" s="53"/>
      <c r="AN382" s="53"/>
      <c r="AO382" s="53"/>
      <c r="AP382" s="53"/>
      <c r="AQ382" s="53"/>
      <c r="AR382" s="53"/>
      <c r="AS382" s="53"/>
    </row>
    <row r="383" spans="30:45" x14ac:dyDescent="0.25">
      <c r="AD383" s="53"/>
      <c r="AE383" s="53"/>
      <c r="AF383" s="53"/>
      <c r="AG383" s="53"/>
      <c r="AH383" s="53"/>
      <c r="AI383" s="53"/>
      <c r="AJ383" s="53"/>
      <c r="AK383" s="53"/>
      <c r="AL383" s="53"/>
      <c r="AM383" s="53"/>
      <c r="AN383" s="53"/>
      <c r="AO383" s="53"/>
      <c r="AP383" s="53"/>
      <c r="AQ383" s="53"/>
      <c r="AR383" s="53"/>
      <c r="AS383" s="53"/>
    </row>
    <row r="384" spans="30:45" x14ac:dyDescent="0.25">
      <c r="AD384" s="53"/>
      <c r="AE384" s="53"/>
      <c r="AF384" s="53"/>
      <c r="AG384" s="53"/>
      <c r="AH384" s="53"/>
      <c r="AI384" s="53"/>
      <c r="AJ384" s="53"/>
      <c r="AK384" s="53"/>
      <c r="AL384" s="53"/>
      <c r="AM384" s="53"/>
      <c r="AN384" s="53"/>
      <c r="AO384" s="53"/>
      <c r="AP384" s="53"/>
      <c r="AQ384" s="53"/>
      <c r="AR384" s="53"/>
      <c r="AS384" s="53"/>
    </row>
    <row r="385" spans="30:45" x14ac:dyDescent="0.25">
      <c r="AD385" s="53"/>
      <c r="AE385" s="53"/>
      <c r="AF385" s="53"/>
      <c r="AG385" s="53"/>
      <c r="AH385" s="53"/>
      <c r="AI385" s="53"/>
      <c r="AJ385" s="53"/>
      <c r="AK385" s="53"/>
      <c r="AL385" s="53"/>
      <c r="AM385" s="53"/>
      <c r="AN385" s="53"/>
      <c r="AO385" s="53"/>
      <c r="AP385" s="53"/>
      <c r="AQ385" s="53"/>
      <c r="AR385" s="53"/>
      <c r="AS385" s="53"/>
    </row>
    <row r="386" spans="30:45" x14ac:dyDescent="0.25">
      <c r="AD386" s="53"/>
      <c r="AE386" s="53"/>
      <c r="AF386" s="53"/>
      <c r="AG386" s="53"/>
      <c r="AH386" s="53"/>
      <c r="AI386" s="53"/>
      <c r="AJ386" s="53"/>
      <c r="AK386" s="53"/>
      <c r="AL386" s="53"/>
      <c r="AM386" s="53"/>
      <c r="AN386" s="53"/>
      <c r="AO386" s="53"/>
      <c r="AP386" s="53"/>
      <c r="AQ386" s="53"/>
      <c r="AR386" s="53"/>
      <c r="AS386" s="53"/>
    </row>
    <row r="387" spans="30:45" x14ac:dyDescent="0.25">
      <c r="AD387" s="53"/>
      <c r="AE387" s="53"/>
      <c r="AF387" s="53"/>
      <c r="AG387" s="53"/>
      <c r="AH387" s="53"/>
      <c r="AI387" s="53"/>
      <c r="AJ387" s="53"/>
      <c r="AK387" s="53"/>
      <c r="AL387" s="53"/>
      <c r="AM387" s="53"/>
      <c r="AN387" s="53"/>
      <c r="AO387" s="53"/>
      <c r="AP387" s="53"/>
      <c r="AQ387" s="53"/>
      <c r="AR387" s="53"/>
      <c r="AS387" s="53"/>
    </row>
    <row r="388" spans="30:45" x14ac:dyDescent="0.25">
      <c r="AD388" s="53"/>
      <c r="AE388" s="53"/>
      <c r="AF388" s="53"/>
      <c r="AG388" s="53"/>
      <c r="AH388" s="53"/>
      <c r="AI388" s="53"/>
      <c r="AJ388" s="53"/>
      <c r="AK388" s="53"/>
      <c r="AL388" s="53"/>
      <c r="AM388" s="53"/>
      <c r="AN388" s="53"/>
      <c r="AO388" s="53"/>
      <c r="AP388" s="53"/>
      <c r="AQ388" s="53"/>
      <c r="AR388" s="53"/>
      <c r="AS388" s="53"/>
    </row>
    <row r="389" spans="30:45" x14ac:dyDescent="0.25">
      <c r="AD389" s="53"/>
      <c r="AE389" s="53"/>
      <c r="AF389" s="53"/>
      <c r="AG389" s="53"/>
      <c r="AH389" s="53"/>
      <c r="AI389" s="53"/>
      <c r="AJ389" s="53"/>
      <c r="AK389" s="53"/>
      <c r="AL389" s="53"/>
      <c r="AM389" s="53"/>
      <c r="AN389" s="53"/>
      <c r="AO389" s="53"/>
      <c r="AP389" s="53"/>
      <c r="AQ389" s="53"/>
      <c r="AR389" s="53"/>
      <c r="AS389" s="53"/>
    </row>
    <row r="390" spans="30:45" x14ac:dyDescent="0.25">
      <c r="AD390" s="53"/>
      <c r="AE390" s="53"/>
      <c r="AF390" s="53"/>
      <c r="AG390" s="53"/>
      <c r="AH390" s="53"/>
      <c r="AI390" s="53"/>
      <c r="AJ390" s="53"/>
      <c r="AK390" s="53"/>
      <c r="AL390" s="53"/>
      <c r="AM390" s="53"/>
      <c r="AN390" s="53"/>
      <c r="AO390" s="53"/>
      <c r="AP390" s="53"/>
      <c r="AQ390" s="53"/>
      <c r="AR390" s="53"/>
      <c r="AS390" s="53"/>
    </row>
    <row r="391" spans="30:45" x14ac:dyDescent="0.25">
      <c r="AD391" s="53"/>
      <c r="AE391" s="53"/>
      <c r="AF391" s="53"/>
      <c r="AG391" s="53"/>
      <c r="AH391" s="53"/>
      <c r="AI391" s="53"/>
      <c r="AJ391" s="53"/>
      <c r="AK391" s="53"/>
      <c r="AL391" s="53"/>
      <c r="AM391" s="53"/>
      <c r="AN391" s="53"/>
      <c r="AO391" s="53"/>
      <c r="AP391" s="53"/>
      <c r="AQ391" s="53"/>
      <c r="AR391" s="53"/>
      <c r="AS391" s="53"/>
    </row>
    <row r="392" spans="30:45" x14ac:dyDescent="0.25">
      <c r="AD392" s="53"/>
      <c r="AE392" s="53"/>
      <c r="AF392" s="53"/>
      <c r="AG392" s="53"/>
      <c r="AH392" s="53"/>
      <c r="AI392" s="53"/>
      <c r="AJ392" s="53"/>
      <c r="AK392" s="53"/>
      <c r="AL392" s="53"/>
      <c r="AM392" s="53"/>
      <c r="AN392" s="53"/>
      <c r="AO392" s="53"/>
      <c r="AP392" s="53"/>
      <c r="AQ392" s="53"/>
      <c r="AR392" s="53"/>
      <c r="AS392" s="53"/>
    </row>
    <row r="393" spans="30:45" x14ac:dyDescent="0.25">
      <c r="AD393" s="53"/>
      <c r="AE393" s="53"/>
      <c r="AF393" s="53"/>
      <c r="AG393" s="53"/>
      <c r="AH393" s="53"/>
      <c r="AI393" s="53"/>
      <c r="AJ393" s="53"/>
      <c r="AK393" s="53"/>
      <c r="AL393" s="53"/>
      <c r="AM393" s="53"/>
      <c r="AN393" s="53"/>
      <c r="AO393" s="53"/>
      <c r="AP393" s="53"/>
      <c r="AQ393" s="53"/>
      <c r="AR393" s="53"/>
      <c r="AS393" s="53"/>
    </row>
    <row r="394" spans="30:45" x14ac:dyDescent="0.25">
      <c r="AD394" s="53"/>
      <c r="AE394" s="53"/>
      <c r="AF394" s="53"/>
      <c r="AG394" s="53"/>
      <c r="AH394" s="53"/>
      <c r="AI394" s="53"/>
      <c r="AJ394" s="53"/>
      <c r="AK394" s="53"/>
      <c r="AL394" s="53"/>
      <c r="AM394" s="53"/>
      <c r="AN394" s="53"/>
      <c r="AO394" s="53"/>
      <c r="AP394" s="53"/>
      <c r="AQ394" s="53"/>
      <c r="AR394" s="53"/>
      <c r="AS394" s="53"/>
    </row>
    <row r="395" spans="30:45" x14ac:dyDescent="0.25">
      <c r="AD395" s="53"/>
      <c r="AE395" s="53"/>
      <c r="AF395" s="53"/>
      <c r="AG395" s="53"/>
      <c r="AH395" s="53"/>
      <c r="AI395" s="53"/>
      <c r="AJ395" s="53"/>
      <c r="AK395" s="53"/>
      <c r="AL395" s="53"/>
      <c r="AM395" s="53"/>
      <c r="AN395" s="53"/>
      <c r="AO395" s="53"/>
      <c r="AP395" s="53"/>
      <c r="AQ395" s="53"/>
      <c r="AR395" s="53"/>
      <c r="AS395" s="53"/>
    </row>
    <row r="396" spans="30:45" x14ac:dyDescent="0.25">
      <c r="AD396" s="53"/>
      <c r="AE396" s="53"/>
      <c r="AF396" s="53"/>
      <c r="AG396" s="53"/>
      <c r="AH396" s="53"/>
      <c r="AI396" s="53"/>
      <c r="AJ396" s="53"/>
      <c r="AK396" s="53"/>
      <c r="AL396" s="53"/>
      <c r="AM396" s="53"/>
      <c r="AN396" s="53"/>
      <c r="AO396" s="53"/>
      <c r="AP396" s="53"/>
      <c r="AQ396" s="53"/>
      <c r="AR396" s="53"/>
      <c r="AS396" s="53"/>
    </row>
  </sheetData>
  <phoneticPr fontId="6" type="noConversion"/>
  <conditionalFormatting sqref="B12">
    <cfRule type="expression" dxfId="50" priority="4" stopIfTrue="1">
      <formula>OR(B7="mágus származás",B7="kevert származás",B7="talan származás",B7="született")</formula>
    </cfRule>
  </conditionalFormatting>
  <conditionalFormatting sqref="B13">
    <cfRule type="expression" dxfId="49" priority="5" stopIfTrue="1">
      <formula>AND($AE$21&gt;-1,OR(B7="mágus származás",B7="kevert származás",B7="talan származás",B7="született"))</formula>
    </cfRule>
  </conditionalFormatting>
  <conditionalFormatting sqref="B14">
    <cfRule type="expression" dxfId="48" priority="6" stopIfTrue="1">
      <formula>OR(AE21=1)</formula>
    </cfRule>
  </conditionalFormatting>
  <conditionalFormatting sqref="E10">
    <cfRule type="expression" dxfId="47" priority="7" stopIfTrue="1">
      <formula>OR($A$27:$A$32="Kétkezesség",F27:F31="Kétkezesség",A36:A42="Kétkezesség")</formula>
    </cfRule>
  </conditionalFormatting>
  <conditionalFormatting sqref="K15">
    <cfRule type="expression" dxfId="46" priority="8" stopIfTrue="1">
      <formula>OR($AH$25&gt;0)</formula>
    </cfRule>
  </conditionalFormatting>
  <conditionalFormatting sqref="L16:L27 K28:L28">
    <cfRule type="expression" dxfId="45" priority="9" stopIfTrue="1">
      <formula>OR($AH$25&gt;0)</formula>
    </cfRule>
  </conditionalFormatting>
  <conditionalFormatting sqref="K16:K27">
    <cfRule type="expression" dxfId="44" priority="10" stopIfTrue="1">
      <formula>OR($AH$25&gt;0)</formula>
    </cfRule>
  </conditionalFormatting>
  <conditionalFormatting sqref="K9:L9 L2:L8">
    <cfRule type="expression" dxfId="43" priority="11" stopIfTrue="1">
      <formula>OR($AH$22&gt;0)</formula>
    </cfRule>
  </conditionalFormatting>
  <conditionalFormatting sqref="K10">
    <cfRule type="expression" dxfId="42" priority="12" stopIfTrue="1">
      <formula>OR($AH$23&gt;0)</formula>
    </cfRule>
  </conditionalFormatting>
  <conditionalFormatting sqref="K11">
    <cfRule type="expression" dxfId="41" priority="13" stopIfTrue="1">
      <formula>OR($AH$23&gt;0)</formula>
    </cfRule>
  </conditionalFormatting>
  <conditionalFormatting sqref="K12">
    <cfRule type="expression" dxfId="40" priority="14" stopIfTrue="1">
      <formula>OR($AH$23&gt;1)</formula>
    </cfRule>
  </conditionalFormatting>
  <conditionalFormatting sqref="K13">
    <cfRule type="expression" dxfId="39" priority="15" stopIfTrue="1">
      <formula>OR($AH$23&gt;2)</formula>
    </cfRule>
  </conditionalFormatting>
  <conditionalFormatting sqref="K14">
    <cfRule type="expression" dxfId="38" priority="16" stopIfTrue="1">
      <formula>OR($AH$23&gt;3)</formula>
    </cfRule>
  </conditionalFormatting>
  <conditionalFormatting sqref="G8:G9">
    <cfRule type="cellIs" dxfId="37" priority="17" stopIfTrue="1" operator="equal">
      <formula>-50</formula>
    </cfRule>
  </conditionalFormatting>
  <conditionalFormatting sqref="H3:I4">
    <cfRule type="expression" dxfId="36" priority="18" stopIfTrue="1">
      <formula>OR($B$8="Likantróp")</formula>
    </cfRule>
  </conditionalFormatting>
  <conditionalFormatting sqref="Y2:Z74">
    <cfRule type="cellIs" dxfId="35" priority="19" stopIfTrue="1" operator="equal">
      <formula>"jövő hiánya"</formula>
    </cfRule>
  </conditionalFormatting>
  <conditionalFormatting sqref="Y65:Z65">
    <cfRule type="cellIs" dxfId="34" priority="20" stopIfTrue="1" operator="notEqual">
      <formula>""</formula>
    </cfRule>
  </conditionalFormatting>
  <conditionalFormatting sqref="C32">
    <cfRule type="expression" dxfId="33" priority="22" stopIfTrue="1">
      <formula>OR($A$27:$A$31="Hátrányos")</formula>
    </cfRule>
  </conditionalFormatting>
  <conditionalFormatting sqref="B11">
    <cfRule type="expression" dxfId="32" priority="23" stopIfTrue="1">
      <formula>OR($A$27:$A$31="Két anyanyelv")</formula>
    </cfRule>
  </conditionalFormatting>
  <conditionalFormatting sqref="D12">
    <cfRule type="expression" dxfId="31" priority="24" stopIfTrue="1">
      <formula>OR($B$7="született")</formula>
    </cfRule>
  </conditionalFormatting>
  <conditionalFormatting sqref="J2:J4">
    <cfRule type="expression" dxfId="30" priority="25" stopIfTrue="1">
      <formula>OR($AG$22&gt;0)</formula>
    </cfRule>
  </conditionalFormatting>
  <conditionalFormatting sqref="J5:J7">
    <cfRule type="expression" dxfId="29" priority="26" stopIfTrue="1">
      <formula>OR($AG$22&gt;1)</formula>
    </cfRule>
  </conditionalFormatting>
  <conditionalFormatting sqref="J8:J10">
    <cfRule type="expression" dxfId="28" priority="27" stopIfTrue="1">
      <formula>OR($AG$22&gt;2)</formula>
    </cfRule>
  </conditionalFormatting>
  <conditionalFormatting sqref="J11:J13">
    <cfRule type="expression" dxfId="27" priority="28" stopIfTrue="1">
      <formula>OR($AG$22&gt;3)</formula>
    </cfRule>
  </conditionalFormatting>
  <conditionalFormatting sqref="J14">
    <cfRule type="expression" dxfId="26" priority="29" stopIfTrue="1">
      <formula>OR($AG$23&gt;0)</formula>
    </cfRule>
  </conditionalFormatting>
  <conditionalFormatting sqref="J15:J16">
    <cfRule type="expression" dxfId="25" priority="30" stopIfTrue="1">
      <formula>OR($AG$23&gt;0)</formula>
    </cfRule>
  </conditionalFormatting>
  <conditionalFormatting sqref="J17:J18">
    <cfRule type="expression" dxfId="24" priority="31" stopIfTrue="1">
      <formula>OR($AG$23&gt;1)</formula>
    </cfRule>
  </conditionalFormatting>
  <conditionalFormatting sqref="J19:J20">
    <cfRule type="expression" dxfId="23" priority="32" stopIfTrue="1">
      <formula>OR($AG$23&gt;2)</formula>
    </cfRule>
  </conditionalFormatting>
  <conditionalFormatting sqref="J21:J22">
    <cfRule type="expression" dxfId="22" priority="33" stopIfTrue="1">
      <formula>OR($AG$23&gt;3)</formula>
    </cfRule>
  </conditionalFormatting>
  <conditionalFormatting sqref="J23">
    <cfRule type="expression" dxfId="21" priority="34" stopIfTrue="1">
      <formula>OR($AH$24&gt;0)</formula>
    </cfRule>
  </conditionalFormatting>
  <conditionalFormatting sqref="J24">
    <cfRule type="expression" dxfId="20" priority="35" stopIfTrue="1">
      <formula>OR($AH$24&gt;0)</formula>
    </cfRule>
  </conditionalFormatting>
  <conditionalFormatting sqref="K1">
    <cfRule type="expression" dxfId="19" priority="36" stopIfTrue="1">
      <formula>OR($AH$22&gt;0)</formula>
    </cfRule>
  </conditionalFormatting>
  <conditionalFormatting sqref="K2:K8">
    <cfRule type="expression" dxfId="18" priority="37" stopIfTrue="1">
      <formula>OR($AH$22&gt;0)</formula>
    </cfRule>
  </conditionalFormatting>
  <conditionalFormatting sqref="J27">
    <cfRule type="expression" dxfId="17" priority="38" stopIfTrue="1">
      <formula>OR($AH$24&gt;3)</formula>
    </cfRule>
  </conditionalFormatting>
  <conditionalFormatting sqref="J26">
    <cfRule type="expression" dxfId="16" priority="39" stopIfTrue="1">
      <formula>OR($AH$24&gt;2)</formula>
    </cfRule>
  </conditionalFormatting>
  <conditionalFormatting sqref="J25">
    <cfRule type="expression" dxfId="15" priority="40" stopIfTrue="1">
      <formula>OR($AH$24&gt;1)</formula>
    </cfRule>
  </conditionalFormatting>
  <conditionalFormatting sqref="D21:E21 D23:E24">
    <cfRule type="expression" dxfId="14" priority="41" stopIfTrue="1">
      <formula>OR($B$8="Likantróp",$B$8="Vámpír",$B$8="Szerviens")</formula>
    </cfRule>
  </conditionalFormatting>
  <conditionalFormatting sqref="H25">
    <cfRule type="expression" dxfId="13" priority="42" stopIfTrue="1">
      <formula>OR($B$8="Szerviens")</formula>
    </cfRule>
  </conditionalFormatting>
  <conditionalFormatting sqref="J1">
    <cfRule type="expression" dxfId="12" priority="43" stopIfTrue="1">
      <formula>OR($AG$22&gt;0)</formula>
    </cfRule>
  </conditionalFormatting>
  <conditionalFormatting sqref="G12:G13">
    <cfRule type="expression" dxfId="11" priority="44" stopIfTrue="1">
      <formula>$B$7&lt;&gt;"talan/sutta"</formula>
    </cfRule>
  </conditionalFormatting>
  <conditionalFormatting sqref="X81:X1048576 X1:X77">
    <cfRule type="cellIs" dxfId="10" priority="45" stopIfTrue="1" operator="greaterThan">
      <formula>0</formula>
    </cfRule>
  </conditionalFormatting>
  <conditionalFormatting sqref="A32">
    <cfRule type="expression" dxfId="9" priority="87" stopIfTrue="1">
      <formula>OR($C$27:$C$31="Előnyös")</formula>
    </cfRule>
  </conditionalFormatting>
  <conditionalFormatting sqref="Y66:Z66">
    <cfRule type="cellIs" dxfId="8" priority="3" stopIfTrue="1" operator="notEqual">
      <formula>""</formula>
    </cfRule>
  </conditionalFormatting>
  <conditionalFormatting sqref="Y68:Z68">
    <cfRule type="cellIs" dxfId="7" priority="2" stopIfTrue="1" operator="notEqual">
      <formula>""</formula>
    </cfRule>
  </conditionalFormatting>
  <conditionalFormatting sqref="Y69:Z69">
    <cfRule type="cellIs" dxfId="6" priority="1" stopIfTrue="1" operator="notEqual">
      <formula>""</formula>
    </cfRule>
  </conditionalFormatting>
  <dataValidations count="15">
    <dataValidation type="list" allowBlank="1" showInputMessage="1" showErrorMessage="1" sqref="K16:K27" xr:uid="{00000000-0002-0000-0100-000000000000}">
      <formula1>kepzett</formula1>
    </dataValidation>
    <dataValidation type="list" allowBlank="1" showInputMessage="1" showErrorMessage="1" sqref="K11:K14 J15:J22 J24:J27" xr:uid="{00000000-0002-0000-0100-000001000000}">
      <formula1>jovo2</formula1>
    </dataValidation>
    <dataValidation type="list" allowBlank="1" showInputMessage="1" showErrorMessage="1" sqref="C36:C40" xr:uid="{00000000-0002-0000-0100-000002000000}">
      <formula1>koncepth</formula1>
    </dataValidation>
    <dataValidation type="list" allowBlank="1" showInputMessage="1" showErrorMessage="1" sqref="A36:A40" xr:uid="{00000000-0002-0000-0100-000003000000}">
      <formula1>koncepte</formula1>
    </dataValidation>
    <dataValidation type="list" allowBlank="1" showInputMessage="1" showErrorMessage="1" sqref="D12" xr:uid="{00000000-0002-0000-0100-000004000000}">
      <formula1>szuletett</formula1>
    </dataValidation>
    <dataValidation type="list" allowBlank="1" showInputMessage="1" showErrorMessage="1" sqref="A27:A32" xr:uid="{00000000-0002-0000-0100-000005000000}">
      <formula1>embere</formula1>
    </dataValidation>
    <dataValidation type="list" allowBlank="1" showInputMessage="1" showErrorMessage="1" sqref="C27:C32" xr:uid="{00000000-0002-0000-0100-000006000000}">
      <formula1>emberh</formula1>
    </dataValidation>
    <dataValidation type="list" allowBlank="1" showInputMessage="1" showErrorMessage="1" sqref="F27:F31" xr:uid="{00000000-0002-0000-0100-000007000000}">
      <formula1>ejlenye</formula1>
    </dataValidation>
    <dataValidation type="list" allowBlank="1" showInputMessage="1" showErrorMessage="1" sqref="H27:H31" xr:uid="{00000000-0002-0000-0100-000008000000}">
      <formula1>ejlenyh</formula1>
    </dataValidation>
    <dataValidation type="list" allowBlank="1" showInputMessage="1" showErrorMessage="1" sqref="B8" xr:uid="{00000000-0002-0000-0100-000009000000}">
      <formula1>ejleny</formula1>
    </dataValidation>
    <dataValidation type="list" allowBlank="1" showInputMessage="1" showErrorMessage="1" sqref="B7" xr:uid="{00000000-0002-0000-0100-00000A000000}">
      <formula1>szarmazas</formula1>
    </dataValidation>
    <dataValidation type="list" allowBlank="1" showInputMessage="1" showErrorMessage="1" sqref="B12:B14" xr:uid="{00000000-0002-0000-0100-00000B000000}">
      <formula1>geno</formula1>
    </dataValidation>
    <dataValidation type="list" allowBlank="1" showInputMessage="1" showErrorMessage="1" sqref="J2:J13 K2:K8" xr:uid="{00000000-0002-0000-0100-00000C000000}">
      <formula1>jovo1</formula1>
    </dataValidation>
    <dataValidation type="list" allowBlank="1" showInputMessage="1" showErrorMessage="1" sqref="G12" xr:uid="{00000000-0002-0000-0100-00000D000000}">
      <formula1>bazis2</formula1>
    </dataValidation>
    <dataValidation type="list" allowBlank="1" showInputMessage="1" showErrorMessage="1" sqref="G13" xr:uid="{00000000-0002-0000-0100-00000E000000}">
      <formula1>hordozo</formula1>
    </dataValidation>
  </dataValidations>
  <pageMargins left="0.75" right="0.75" top="1" bottom="1" header="0.5" footer="0.5"/>
  <pageSetup paperSize="9" orientation="portrait" horizontalDpi="0"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C1032"/>
  <sheetViews>
    <sheetView topLeftCell="G25" zoomScale="70" workbookViewId="0">
      <selection activeCell="Z58" sqref="Z58"/>
    </sheetView>
  </sheetViews>
  <sheetFormatPr defaultRowHeight="15" x14ac:dyDescent="0.25"/>
  <cols>
    <col min="2" max="2" width="15.140625" bestFit="1" customWidth="1"/>
    <col min="16" max="16" width="15.140625" bestFit="1" customWidth="1"/>
    <col min="20" max="20" width="12.5703125" bestFit="1" customWidth="1"/>
    <col min="26" max="26" width="25.85546875" bestFit="1" customWidth="1"/>
    <col min="29" max="29" width="23.42578125" customWidth="1"/>
    <col min="31" max="31" width="27.5703125" bestFit="1" customWidth="1"/>
    <col min="32" max="32" width="10.28515625" bestFit="1" customWidth="1"/>
  </cols>
  <sheetData>
    <row r="1" spans="2:29" ht="15.75" thickBot="1" x14ac:dyDescent="0.3"/>
    <row r="2" spans="2:29" ht="15.75" thickBot="1" x14ac:dyDescent="0.3">
      <c r="I2" s="33"/>
      <c r="J2" s="33"/>
      <c r="P2" s="20" t="s">
        <v>1219</v>
      </c>
      <c r="Q2" s="21" t="s">
        <v>1220</v>
      </c>
    </row>
    <row r="3" spans="2:29" ht="15.75" thickBot="1" x14ac:dyDescent="0.3">
      <c r="B3" s="20" t="s">
        <v>1221</v>
      </c>
      <c r="C3" s="22">
        <v>1</v>
      </c>
      <c r="D3" s="22">
        <v>2</v>
      </c>
      <c r="E3" s="22">
        <v>3</v>
      </c>
      <c r="F3" s="21">
        <v>4</v>
      </c>
      <c r="G3" s="33"/>
      <c r="H3" s="27" t="s">
        <v>747</v>
      </c>
      <c r="I3" s="33"/>
      <c r="J3" s="33"/>
      <c r="K3" s="33" t="s">
        <v>1517</v>
      </c>
      <c r="L3" s="33"/>
      <c r="M3" s="33"/>
      <c r="N3" s="33"/>
      <c r="O3" s="32"/>
      <c r="P3" s="23">
        <v>0</v>
      </c>
      <c r="Q3" s="24">
        <v>-5</v>
      </c>
      <c r="S3" s="25">
        <v>10</v>
      </c>
      <c r="T3" s="26">
        <v>24</v>
      </c>
      <c r="V3" s="27" t="s">
        <v>809</v>
      </c>
      <c r="Z3" s="27" t="s">
        <v>751</v>
      </c>
      <c r="AC3" s="27" t="s">
        <v>750</v>
      </c>
    </row>
    <row r="4" spans="2:29" x14ac:dyDescent="0.25">
      <c r="B4" s="25">
        <v>1</v>
      </c>
      <c r="C4" s="28">
        <v>1</v>
      </c>
      <c r="D4" s="28">
        <v>2</v>
      </c>
      <c r="E4" s="28">
        <v>3</v>
      </c>
      <c r="F4" s="26">
        <v>4</v>
      </c>
      <c r="G4" s="33"/>
      <c r="I4" s="33"/>
      <c r="J4" s="33"/>
      <c r="O4" s="32"/>
      <c r="P4" s="70">
        <v>1</v>
      </c>
      <c r="Q4" s="30">
        <v>-5</v>
      </c>
      <c r="S4" s="31">
        <v>11</v>
      </c>
      <c r="T4" s="32">
        <v>26</v>
      </c>
    </row>
    <row r="5" spans="2:29" x14ac:dyDescent="0.25">
      <c r="B5" s="31">
        <v>2</v>
      </c>
      <c r="C5" s="33">
        <v>2</v>
      </c>
      <c r="D5" s="33">
        <v>4</v>
      </c>
      <c r="E5" s="33">
        <v>6</v>
      </c>
      <c r="F5" s="32">
        <v>8</v>
      </c>
      <c r="G5" s="33"/>
      <c r="H5" t="s">
        <v>1230</v>
      </c>
      <c r="K5" t="s">
        <v>1518</v>
      </c>
      <c r="L5" t="s">
        <v>1988</v>
      </c>
      <c r="P5" s="29">
        <f t="shared" ref="P5:P23" si="0">1+P4</f>
        <v>2</v>
      </c>
      <c r="Q5" s="30">
        <v>-4</v>
      </c>
      <c r="S5" s="31">
        <v>12</v>
      </c>
      <c r="T5" s="32">
        <v>28</v>
      </c>
      <c r="V5" t="s">
        <v>1088</v>
      </c>
      <c r="Z5" t="s">
        <v>415</v>
      </c>
      <c r="AA5">
        <v>1</v>
      </c>
      <c r="AC5" t="s">
        <v>1222</v>
      </c>
    </row>
    <row r="6" spans="2:29" x14ac:dyDescent="0.25">
      <c r="B6" s="31">
        <v>3</v>
      </c>
      <c r="C6" s="33">
        <v>4</v>
      </c>
      <c r="D6" s="33">
        <v>8</v>
      </c>
      <c r="E6" s="33">
        <v>12</v>
      </c>
      <c r="F6" s="32">
        <v>16</v>
      </c>
      <c r="G6" s="33"/>
      <c r="H6" t="s">
        <v>1237</v>
      </c>
      <c r="K6" t="s">
        <v>1519</v>
      </c>
      <c r="L6" t="s">
        <v>1989</v>
      </c>
      <c r="P6" s="29">
        <f t="shared" si="0"/>
        <v>3</v>
      </c>
      <c r="Q6" s="30">
        <v>-4</v>
      </c>
      <c r="S6" s="31">
        <v>13</v>
      </c>
      <c r="T6" s="32">
        <v>30</v>
      </c>
      <c r="V6" t="s">
        <v>1091</v>
      </c>
      <c r="Z6" t="s">
        <v>196</v>
      </c>
      <c r="AA6">
        <v>1</v>
      </c>
      <c r="AC6" t="s">
        <v>1223</v>
      </c>
    </row>
    <row r="7" spans="2:29" x14ac:dyDescent="0.25">
      <c r="B7" s="31">
        <v>4</v>
      </c>
      <c r="C7" s="33">
        <v>7</v>
      </c>
      <c r="D7" s="33">
        <v>14</v>
      </c>
      <c r="E7" s="33">
        <v>21</v>
      </c>
      <c r="F7" s="32">
        <v>28</v>
      </c>
      <c r="G7" s="33"/>
      <c r="H7" t="s">
        <v>1247</v>
      </c>
      <c r="K7" t="s">
        <v>1520</v>
      </c>
      <c r="L7" t="s">
        <v>1993</v>
      </c>
      <c r="P7" s="29">
        <f t="shared" si="0"/>
        <v>4</v>
      </c>
      <c r="Q7" s="30">
        <v>-3</v>
      </c>
      <c r="S7" s="31">
        <v>14</v>
      </c>
      <c r="T7" s="32">
        <v>32</v>
      </c>
      <c r="V7" t="s">
        <v>1094</v>
      </c>
      <c r="Z7" t="s">
        <v>1225</v>
      </c>
      <c r="AA7">
        <v>1</v>
      </c>
      <c r="AC7" t="s">
        <v>891</v>
      </c>
    </row>
    <row r="8" spans="2:29" x14ac:dyDescent="0.25">
      <c r="B8" s="31">
        <v>5</v>
      </c>
      <c r="C8" s="33">
        <v>11</v>
      </c>
      <c r="D8" s="33">
        <v>22</v>
      </c>
      <c r="E8" s="33">
        <v>33</v>
      </c>
      <c r="F8" s="32">
        <v>44</v>
      </c>
      <c r="G8" s="33"/>
      <c r="H8" t="s">
        <v>777</v>
      </c>
      <c r="K8" t="s">
        <v>1522</v>
      </c>
      <c r="L8" t="s">
        <v>1994</v>
      </c>
      <c r="P8" s="29">
        <f t="shared" si="0"/>
        <v>5</v>
      </c>
      <c r="Q8" s="30">
        <v>-3</v>
      </c>
      <c r="S8" s="31">
        <v>15</v>
      </c>
      <c r="T8" s="32">
        <v>34</v>
      </c>
      <c r="V8" s="41" t="s">
        <v>1097</v>
      </c>
      <c r="Z8" t="s">
        <v>2037</v>
      </c>
      <c r="AA8">
        <v>1</v>
      </c>
      <c r="AC8" t="s">
        <v>1229</v>
      </c>
    </row>
    <row r="9" spans="2:29" x14ac:dyDescent="0.25">
      <c r="B9" s="31">
        <v>6</v>
      </c>
      <c r="C9" s="33">
        <v>16</v>
      </c>
      <c r="D9" s="33">
        <v>32</v>
      </c>
      <c r="E9" s="33">
        <v>48</v>
      </c>
      <c r="F9" s="32">
        <v>64</v>
      </c>
      <c r="G9" s="33"/>
      <c r="H9" t="s">
        <v>778</v>
      </c>
      <c r="K9" t="s">
        <v>1521</v>
      </c>
      <c r="L9" t="s">
        <v>1990</v>
      </c>
      <c r="P9" s="29">
        <f t="shared" si="0"/>
        <v>6</v>
      </c>
      <c r="Q9" s="30">
        <v>-2</v>
      </c>
      <c r="S9" s="31">
        <v>16</v>
      </c>
      <c r="T9" s="32">
        <v>36</v>
      </c>
      <c r="V9" t="s">
        <v>1099</v>
      </c>
      <c r="Z9" t="s">
        <v>1227</v>
      </c>
      <c r="AA9">
        <v>1</v>
      </c>
      <c r="AC9" t="s">
        <v>1313</v>
      </c>
    </row>
    <row r="10" spans="2:29" ht="15.75" thickBot="1" x14ac:dyDescent="0.3">
      <c r="B10" s="31">
        <v>7</v>
      </c>
      <c r="C10" s="33">
        <v>22</v>
      </c>
      <c r="D10" s="33">
        <v>44</v>
      </c>
      <c r="E10" s="33">
        <v>66</v>
      </c>
      <c r="F10" s="32">
        <v>88</v>
      </c>
      <c r="G10" s="33"/>
      <c r="H10" t="s">
        <v>795</v>
      </c>
      <c r="K10" t="s">
        <v>1523</v>
      </c>
      <c r="L10" t="s">
        <v>1991</v>
      </c>
      <c r="P10" s="29">
        <f t="shared" si="0"/>
        <v>7</v>
      </c>
      <c r="Q10" s="30">
        <v>-2</v>
      </c>
      <c r="S10" s="34">
        <v>17</v>
      </c>
      <c r="T10" s="35">
        <v>38</v>
      </c>
      <c r="V10" t="s">
        <v>252</v>
      </c>
      <c r="Z10" t="s">
        <v>1259</v>
      </c>
      <c r="AA10">
        <v>1</v>
      </c>
      <c r="AC10" t="s">
        <v>1234</v>
      </c>
    </row>
    <row r="11" spans="2:29" x14ac:dyDescent="0.25">
      <c r="B11" s="31">
        <v>8</v>
      </c>
      <c r="C11" s="33">
        <v>29</v>
      </c>
      <c r="D11" s="33">
        <v>58</v>
      </c>
      <c r="E11" s="33">
        <v>87</v>
      </c>
      <c r="F11" s="32">
        <v>116</v>
      </c>
      <c r="G11" s="33"/>
      <c r="H11" t="s">
        <v>802</v>
      </c>
      <c r="K11" t="s">
        <v>1524</v>
      </c>
      <c r="L11" t="s">
        <v>1992</v>
      </c>
      <c r="P11" s="29">
        <f t="shared" si="0"/>
        <v>8</v>
      </c>
      <c r="Q11" s="30">
        <v>-1</v>
      </c>
      <c r="V11" t="s">
        <v>1417</v>
      </c>
      <c r="Z11" t="s">
        <v>1260</v>
      </c>
      <c r="AA11">
        <v>1</v>
      </c>
      <c r="AC11" t="s">
        <v>1236</v>
      </c>
    </row>
    <row r="12" spans="2:29" x14ac:dyDescent="0.25">
      <c r="B12" s="31">
        <v>9</v>
      </c>
      <c r="C12" s="33">
        <v>37</v>
      </c>
      <c r="D12" s="33">
        <v>74</v>
      </c>
      <c r="E12" s="33">
        <v>111</v>
      </c>
      <c r="F12" s="32">
        <v>148</v>
      </c>
      <c r="G12" s="33"/>
      <c r="H12" t="s">
        <v>805</v>
      </c>
      <c r="P12" s="29">
        <f t="shared" si="0"/>
        <v>9</v>
      </c>
      <c r="Q12" s="30">
        <v>-1</v>
      </c>
      <c r="S12" s="33"/>
      <c r="V12" t="s">
        <v>1419</v>
      </c>
      <c r="Z12" t="s">
        <v>1230</v>
      </c>
      <c r="AA12">
        <v>1</v>
      </c>
      <c r="AC12" t="s">
        <v>1239</v>
      </c>
    </row>
    <row r="13" spans="2:29" x14ac:dyDescent="0.25">
      <c r="B13" s="31">
        <v>10</v>
      </c>
      <c r="C13" s="33">
        <v>46</v>
      </c>
      <c r="D13" s="33">
        <v>92</v>
      </c>
      <c r="E13" s="33">
        <v>138</v>
      </c>
      <c r="F13" s="32">
        <v>184</v>
      </c>
      <c r="G13" s="33"/>
      <c r="H13" s="33" t="s">
        <v>1089</v>
      </c>
      <c r="P13" s="29">
        <f t="shared" si="0"/>
        <v>10</v>
      </c>
      <c r="Q13" s="30">
        <v>0</v>
      </c>
      <c r="S13" s="33"/>
      <c r="V13" t="s">
        <v>1420</v>
      </c>
      <c r="Z13" t="s">
        <v>1007</v>
      </c>
      <c r="AA13">
        <v>1</v>
      </c>
      <c r="AC13" t="s">
        <v>1224</v>
      </c>
    </row>
    <row r="14" spans="2:29" x14ac:dyDescent="0.25">
      <c r="B14" s="31">
        <v>11</v>
      </c>
      <c r="C14" s="33">
        <v>56</v>
      </c>
      <c r="D14" s="33">
        <v>112</v>
      </c>
      <c r="E14" s="33">
        <v>168</v>
      </c>
      <c r="F14" s="32">
        <v>224</v>
      </c>
      <c r="G14" s="33"/>
      <c r="H14" s="51" t="s">
        <v>1095</v>
      </c>
      <c r="P14" s="29">
        <f t="shared" si="0"/>
        <v>11</v>
      </c>
      <c r="Q14" s="30">
        <v>1</v>
      </c>
      <c r="S14" t="s">
        <v>1238</v>
      </c>
      <c r="Z14" t="s">
        <v>1232</v>
      </c>
      <c r="AA14">
        <v>1</v>
      </c>
      <c r="AC14" t="s">
        <v>1226</v>
      </c>
    </row>
    <row r="15" spans="2:29" x14ac:dyDescent="0.25">
      <c r="B15" s="31">
        <v>12</v>
      </c>
      <c r="C15" s="33">
        <v>67</v>
      </c>
      <c r="D15" s="33">
        <v>134</v>
      </c>
      <c r="E15" s="33">
        <v>201</v>
      </c>
      <c r="F15" s="32">
        <v>268</v>
      </c>
      <c r="G15" s="33"/>
      <c r="H15" s="33"/>
      <c r="P15" s="29">
        <f t="shared" si="0"/>
        <v>12</v>
      </c>
      <c r="Q15" s="30">
        <v>1</v>
      </c>
      <c r="S15" t="s">
        <v>1235</v>
      </c>
      <c r="Z15" t="s">
        <v>1261</v>
      </c>
      <c r="AA15">
        <v>1</v>
      </c>
      <c r="AC15" t="s">
        <v>1228</v>
      </c>
    </row>
    <row r="16" spans="2:29" x14ac:dyDescent="0.25">
      <c r="B16" s="31">
        <v>13</v>
      </c>
      <c r="C16" s="33">
        <v>79</v>
      </c>
      <c r="D16" s="33">
        <v>158</v>
      </c>
      <c r="E16" s="33">
        <v>237</v>
      </c>
      <c r="F16" s="32">
        <v>316</v>
      </c>
      <c r="G16" s="33"/>
      <c r="H16" s="33"/>
      <c r="P16" s="29">
        <f t="shared" si="0"/>
        <v>13</v>
      </c>
      <c r="Q16" s="30">
        <v>2</v>
      </c>
      <c r="S16" t="s">
        <v>1241</v>
      </c>
      <c r="Z16" t="s">
        <v>1237</v>
      </c>
      <c r="AA16">
        <v>1</v>
      </c>
      <c r="AC16" t="s">
        <v>1231</v>
      </c>
    </row>
    <row r="17" spans="1:27" x14ac:dyDescent="0.25">
      <c r="B17" s="31">
        <v>14</v>
      </c>
      <c r="C17" s="33">
        <v>92</v>
      </c>
      <c r="D17" s="33">
        <v>184</v>
      </c>
      <c r="E17" s="33">
        <v>276</v>
      </c>
      <c r="F17" s="32">
        <v>368</v>
      </c>
      <c r="G17" s="33"/>
      <c r="H17">
        <v>8</v>
      </c>
      <c r="I17">
        <v>0</v>
      </c>
      <c r="P17" s="29">
        <f t="shared" si="0"/>
        <v>14</v>
      </c>
      <c r="Q17" s="30">
        <v>2</v>
      </c>
      <c r="S17" t="s">
        <v>1233</v>
      </c>
      <c r="Z17" t="s">
        <v>1240</v>
      </c>
      <c r="AA17">
        <v>1</v>
      </c>
    </row>
    <row r="18" spans="1:27" x14ac:dyDescent="0.25">
      <c r="B18" s="31">
        <v>15</v>
      </c>
      <c r="C18" s="33">
        <v>106</v>
      </c>
      <c r="D18" s="33">
        <v>212</v>
      </c>
      <c r="E18" s="33">
        <v>318</v>
      </c>
      <c r="F18" s="32">
        <v>424</v>
      </c>
      <c r="G18" s="33"/>
      <c r="H18" s="33">
        <v>9</v>
      </c>
      <c r="I18" s="33">
        <v>0</v>
      </c>
      <c r="P18" s="29">
        <f t="shared" si="0"/>
        <v>15</v>
      </c>
      <c r="Q18" s="30">
        <v>3</v>
      </c>
      <c r="S18" t="s">
        <v>1245</v>
      </c>
      <c r="Z18" t="s">
        <v>2036</v>
      </c>
      <c r="AA18">
        <v>2</v>
      </c>
    </row>
    <row r="19" spans="1:27" x14ac:dyDescent="0.25">
      <c r="B19" s="31">
        <v>16</v>
      </c>
      <c r="C19" s="33">
        <v>121</v>
      </c>
      <c r="D19" s="33">
        <v>242</v>
      </c>
      <c r="E19" s="33">
        <v>363</v>
      </c>
      <c r="F19" s="32">
        <v>484</v>
      </c>
      <c r="G19" s="33"/>
      <c r="H19" s="41">
        <v>10</v>
      </c>
      <c r="I19" s="41">
        <v>1</v>
      </c>
      <c r="P19" s="29">
        <f t="shared" si="0"/>
        <v>16</v>
      </c>
      <c r="Q19" s="30">
        <v>3</v>
      </c>
      <c r="S19" t="s">
        <v>1243</v>
      </c>
      <c r="Z19" t="s">
        <v>1244</v>
      </c>
      <c r="AA19">
        <v>2</v>
      </c>
    </row>
    <row r="20" spans="1:27" x14ac:dyDescent="0.25">
      <c r="B20" s="31">
        <v>17</v>
      </c>
      <c r="C20" s="33">
        <v>137</v>
      </c>
      <c r="D20" s="33">
        <v>274</v>
      </c>
      <c r="E20" s="33">
        <v>411</v>
      </c>
      <c r="F20" s="32">
        <v>548</v>
      </c>
      <c r="G20" s="33"/>
      <c r="H20" s="41">
        <v>11</v>
      </c>
      <c r="I20" s="41">
        <v>2</v>
      </c>
      <c r="P20" s="29">
        <f t="shared" si="0"/>
        <v>17</v>
      </c>
      <c r="Q20" s="30">
        <v>4</v>
      </c>
      <c r="V20" t="s">
        <v>1427</v>
      </c>
      <c r="Z20" t="s">
        <v>1246</v>
      </c>
      <c r="AA20">
        <v>2</v>
      </c>
    </row>
    <row r="21" spans="1:27" x14ac:dyDescent="0.25">
      <c r="B21" s="31">
        <v>18</v>
      </c>
      <c r="C21" s="33">
        <v>154</v>
      </c>
      <c r="D21" s="33">
        <v>308</v>
      </c>
      <c r="E21" s="33">
        <v>462</v>
      </c>
      <c r="F21" s="32">
        <v>616</v>
      </c>
      <c r="G21" s="33"/>
      <c r="H21" s="41">
        <v>12</v>
      </c>
      <c r="I21" s="41">
        <v>3</v>
      </c>
      <c r="P21" s="29">
        <f t="shared" si="0"/>
        <v>18</v>
      </c>
      <c r="Q21" s="30">
        <v>4</v>
      </c>
      <c r="V21" t="s">
        <v>1428</v>
      </c>
      <c r="Z21" t="s">
        <v>1247</v>
      </c>
      <c r="AA21">
        <v>2</v>
      </c>
    </row>
    <row r="22" spans="1:27" x14ac:dyDescent="0.25">
      <c r="B22" s="31">
        <v>19</v>
      </c>
      <c r="C22" s="33">
        <v>172</v>
      </c>
      <c r="D22" s="33">
        <v>344</v>
      </c>
      <c r="E22" s="33">
        <v>516</v>
      </c>
      <c r="F22" s="32">
        <v>688</v>
      </c>
      <c r="G22" s="33"/>
      <c r="H22" s="41">
        <v>13</v>
      </c>
      <c r="I22" s="41">
        <v>4</v>
      </c>
      <c r="P22" s="29">
        <f t="shared" si="0"/>
        <v>19</v>
      </c>
      <c r="Q22" s="30">
        <v>5</v>
      </c>
      <c r="S22" t="s">
        <v>866</v>
      </c>
      <c r="V22" t="s">
        <v>1429</v>
      </c>
      <c r="Z22" t="s">
        <v>1733</v>
      </c>
      <c r="AA22">
        <v>2</v>
      </c>
    </row>
    <row r="23" spans="1:27" ht="15.75" thickBot="1" x14ac:dyDescent="0.3">
      <c r="B23" s="31">
        <v>20</v>
      </c>
      <c r="C23" s="33">
        <v>191</v>
      </c>
      <c r="D23" s="33">
        <f t="shared" ref="D23:D28" si="1">C23*2</f>
        <v>382</v>
      </c>
      <c r="E23" s="33">
        <v>573</v>
      </c>
      <c r="F23" s="32">
        <v>764</v>
      </c>
      <c r="G23" s="33"/>
      <c r="H23" s="41">
        <v>14</v>
      </c>
      <c r="I23" s="41">
        <v>5</v>
      </c>
      <c r="P23" s="36">
        <f t="shared" si="0"/>
        <v>20</v>
      </c>
      <c r="Q23" s="37">
        <v>5</v>
      </c>
      <c r="S23" t="s">
        <v>867</v>
      </c>
      <c r="V23" t="s">
        <v>1248</v>
      </c>
      <c r="Z23" t="s">
        <v>777</v>
      </c>
      <c r="AA23">
        <v>2</v>
      </c>
    </row>
    <row r="24" spans="1:27" x14ac:dyDescent="0.25">
      <c r="B24" s="31">
        <v>21</v>
      </c>
      <c r="C24" s="33">
        <f>C23+B23</f>
        <v>211</v>
      </c>
      <c r="D24" s="33">
        <f t="shared" si="1"/>
        <v>422</v>
      </c>
      <c r="E24" s="33">
        <f>C24*3</f>
        <v>633</v>
      </c>
      <c r="F24" s="32">
        <f>C24*4</f>
        <v>844</v>
      </c>
      <c r="G24" s="33"/>
      <c r="H24" s="41">
        <v>15</v>
      </c>
      <c r="I24" s="41">
        <v>6</v>
      </c>
      <c r="P24" s="38"/>
      <c r="Q24" s="39"/>
      <c r="S24" t="s">
        <v>868</v>
      </c>
      <c r="V24" t="s">
        <v>1430</v>
      </c>
      <c r="Z24" t="s">
        <v>778</v>
      </c>
      <c r="AA24">
        <v>2</v>
      </c>
    </row>
    <row r="25" spans="1:27" x14ac:dyDescent="0.25">
      <c r="B25" s="31">
        <v>22</v>
      </c>
      <c r="C25" s="33">
        <f>C24+B24</f>
        <v>232</v>
      </c>
      <c r="D25" s="33">
        <f t="shared" si="1"/>
        <v>464</v>
      </c>
      <c r="E25" s="33">
        <f>C25*3</f>
        <v>696</v>
      </c>
      <c r="F25" s="32">
        <f>C25*4</f>
        <v>928</v>
      </c>
      <c r="G25" s="33"/>
      <c r="H25" s="41">
        <v>16</v>
      </c>
      <c r="I25" s="41">
        <v>7</v>
      </c>
      <c r="P25" s="38"/>
      <c r="Q25" s="39"/>
      <c r="Z25" t="s">
        <v>1262</v>
      </c>
      <c r="AA25">
        <v>2</v>
      </c>
    </row>
    <row r="26" spans="1:27" x14ac:dyDescent="0.25">
      <c r="B26" s="31">
        <v>23</v>
      </c>
      <c r="C26" s="33">
        <f>C25+B25</f>
        <v>254</v>
      </c>
      <c r="D26" s="33">
        <f t="shared" si="1"/>
        <v>508</v>
      </c>
      <c r="E26" s="33">
        <f>C26*3</f>
        <v>762</v>
      </c>
      <c r="F26" s="32">
        <f>C26*4</f>
        <v>1016</v>
      </c>
      <c r="G26" s="33"/>
      <c r="H26" s="52">
        <v>17</v>
      </c>
      <c r="I26" s="52">
        <v>7</v>
      </c>
      <c r="P26" s="38"/>
      <c r="Q26" s="39"/>
      <c r="Z26" t="s">
        <v>1263</v>
      </c>
      <c r="AA26">
        <v>2</v>
      </c>
    </row>
    <row r="27" spans="1:27" x14ac:dyDescent="0.25">
      <c r="B27" s="31">
        <v>24</v>
      </c>
      <c r="C27" s="33">
        <f>C26+B26</f>
        <v>277</v>
      </c>
      <c r="D27" s="33">
        <f t="shared" si="1"/>
        <v>554</v>
      </c>
      <c r="E27" s="33">
        <f>C27*3</f>
        <v>831</v>
      </c>
      <c r="F27" s="32">
        <f>C27*4</f>
        <v>1108</v>
      </c>
      <c r="G27" s="33"/>
      <c r="H27" s="52">
        <v>18</v>
      </c>
      <c r="I27" s="52">
        <v>7</v>
      </c>
      <c r="P27" s="38"/>
      <c r="Q27" s="39"/>
      <c r="Z27" t="s">
        <v>779</v>
      </c>
      <c r="AA27">
        <v>2</v>
      </c>
    </row>
    <row r="28" spans="1:27" ht="15.75" thickBot="1" x14ac:dyDescent="0.3">
      <c r="B28" s="34">
        <v>25</v>
      </c>
      <c r="C28" s="27">
        <f>C27+B27</f>
        <v>301</v>
      </c>
      <c r="D28" s="27">
        <f t="shared" si="1"/>
        <v>602</v>
      </c>
      <c r="E28" s="27">
        <f>C28*3</f>
        <v>903</v>
      </c>
      <c r="F28" s="35">
        <f>C28*4</f>
        <v>1204</v>
      </c>
      <c r="G28" s="33"/>
      <c r="H28" s="52">
        <v>19</v>
      </c>
      <c r="I28" s="52">
        <v>7</v>
      </c>
      <c r="P28" s="38"/>
      <c r="Q28" s="39"/>
      <c r="Z28" t="s">
        <v>780</v>
      </c>
      <c r="AA28">
        <v>2</v>
      </c>
    </row>
    <row r="29" spans="1:27" ht="15.75" thickBot="1" x14ac:dyDescent="0.3">
      <c r="Z29" t="s">
        <v>1264</v>
      </c>
      <c r="AA29">
        <v>2</v>
      </c>
    </row>
    <row r="30" spans="1:27" ht="15.75" thickBot="1" x14ac:dyDescent="0.3">
      <c r="B30" s="20" t="s">
        <v>783</v>
      </c>
      <c r="C30" s="22" t="s">
        <v>784</v>
      </c>
      <c r="D30" s="22" t="s">
        <v>1858</v>
      </c>
      <c r="E30" s="63" t="s">
        <v>1857</v>
      </c>
      <c r="F30" s="63" t="s">
        <v>1433</v>
      </c>
      <c r="G30" s="63" t="s">
        <v>1432</v>
      </c>
      <c r="H30" s="64" t="s">
        <v>1434</v>
      </c>
      <c r="I30" s="69" t="s">
        <v>1435</v>
      </c>
      <c r="J30" s="63" t="s">
        <v>1437</v>
      </c>
      <c r="K30" s="63" t="s">
        <v>1438</v>
      </c>
      <c r="L30" s="63" t="s">
        <v>1436</v>
      </c>
      <c r="M30" s="63" t="s">
        <v>1439</v>
      </c>
      <c r="N30" s="64" t="s">
        <v>1440</v>
      </c>
      <c r="P30" s="20"/>
      <c r="Q30" s="22" t="s">
        <v>785</v>
      </c>
      <c r="R30" s="22" t="s">
        <v>786</v>
      </c>
      <c r="S30" s="22" t="s">
        <v>787</v>
      </c>
      <c r="T30" s="22" t="s">
        <v>788</v>
      </c>
      <c r="U30" s="22" t="s">
        <v>789</v>
      </c>
      <c r="V30" s="22" t="s">
        <v>790</v>
      </c>
      <c r="W30" s="22" t="s">
        <v>791</v>
      </c>
      <c r="X30" s="21" t="s">
        <v>792</v>
      </c>
      <c r="Z30" t="s">
        <v>781</v>
      </c>
      <c r="AA30">
        <v>2</v>
      </c>
    </row>
    <row r="31" spans="1:27" x14ac:dyDescent="0.25">
      <c r="A31" s="32"/>
      <c r="B31" s="65">
        <v>8</v>
      </c>
      <c r="C31" s="33">
        <v>58</v>
      </c>
      <c r="D31" s="41">
        <v>60</v>
      </c>
      <c r="E31" s="41">
        <v>56</v>
      </c>
      <c r="F31" s="41">
        <f t="shared" ref="F31:F42" si="2">C31+I17</f>
        <v>58</v>
      </c>
      <c r="G31" s="41">
        <f t="shared" ref="G31:G42" si="3">D31+I17</f>
        <v>60</v>
      </c>
      <c r="H31" s="42">
        <f t="shared" ref="H31:H42" si="4">E31+I17</f>
        <v>56</v>
      </c>
      <c r="I31" s="46">
        <f t="shared" ref="I31:J33" si="5">C31-9</f>
        <v>49</v>
      </c>
      <c r="J31" s="33">
        <f t="shared" si="5"/>
        <v>51</v>
      </c>
      <c r="K31" s="41">
        <f>E31-10</f>
        <v>46</v>
      </c>
      <c r="L31" s="41">
        <f>F31-10</f>
        <v>48</v>
      </c>
      <c r="M31" s="41">
        <f>G31-10</f>
        <v>50</v>
      </c>
      <c r="N31" s="42">
        <f>H31-10</f>
        <v>46</v>
      </c>
      <c r="P31" s="31" t="s">
        <v>1518</v>
      </c>
      <c r="Q31" s="33">
        <v>10</v>
      </c>
      <c r="R31" s="33">
        <v>11</v>
      </c>
      <c r="S31" s="33">
        <v>13</v>
      </c>
      <c r="T31" s="33">
        <v>14</v>
      </c>
      <c r="U31" s="33">
        <v>15</v>
      </c>
      <c r="V31" s="33">
        <v>16</v>
      </c>
      <c r="W31" s="33">
        <v>17</v>
      </c>
      <c r="X31" s="32">
        <v>18</v>
      </c>
      <c r="Z31" t="s">
        <v>782</v>
      </c>
      <c r="AA31">
        <v>2</v>
      </c>
    </row>
    <row r="32" spans="1:27" x14ac:dyDescent="0.25">
      <c r="A32" s="32"/>
      <c r="B32" s="66">
        <v>9</v>
      </c>
      <c r="C32" s="33">
        <v>59</v>
      </c>
      <c r="D32" s="41">
        <v>61</v>
      </c>
      <c r="E32" s="41">
        <v>57</v>
      </c>
      <c r="F32" s="41">
        <f t="shared" si="2"/>
        <v>59</v>
      </c>
      <c r="G32" s="41">
        <f t="shared" si="3"/>
        <v>61</v>
      </c>
      <c r="H32" s="42">
        <f t="shared" si="4"/>
        <v>57</v>
      </c>
      <c r="I32" s="46">
        <f t="shared" si="5"/>
        <v>50</v>
      </c>
      <c r="J32" s="33">
        <f t="shared" si="5"/>
        <v>52</v>
      </c>
      <c r="K32" s="33">
        <f>E32-9</f>
        <v>48</v>
      </c>
      <c r="L32" s="41">
        <f t="shared" ref="L32:N33" si="6">F32-10</f>
        <v>49</v>
      </c>
      <c r="M32" s="41">
        <f t="shared" si="6"/>
        <v>51</v>
      </c>
      <c r="N32" s="42">
        <f t="shared" si="6"/>
        <v>47</v>
      </c>
      <c r="P32" s="31" t="s">
        <v>1523</v>
      </c>
      <c r="Q32" s="33">
        <v>12</v>
      </c>
      <c r="R32" s="33">
        <v>13</v>
      </c>
      <c r="S32" s="33">
        <v>14</v>
      </c>
      <c r="T32" s="33">
        <v>15</v>
      </c>
      <c r="U32" s="33">
        <v>16</v>
      </c>
      <c r="V32" s="33">
        <v>17</v>
      </c>
      <c r="W32" s="33">
        <v>17</v>
      </c>
      <c r="X32" s="32">
        <v>18</v>
      </c>
      <c r="Z32" t="s">
        <v>793</v>
      </c>
      <c r="AA32">
        <v>2</v>
      </c>
    </row>
    <row r="33" spans="1:27" x14ac:dyDescent="0.25">
      <c r="A33" s="32"/>
      <c r="B33" s="40">
        <v>10</v>
      </c>
      <c r="C33" s="41">
        <v>60</v>
      </c>
      <c r="D33" s="41">
        <v>63</v>
      </c>
      <c r="E33" s="41">
        <v>58</v>
      </c>
      <c r="F33" s="41">
        <f t="shared" si="2"/>
        <v>61</v>
      </c>
      <c r="G33" s="41">
        <f t="shared" si="3"/>
        <v>64</v>
      </c>
      <c r="H33" s="42">
        <f t="shared" si="4"/>
        <v>59</v>
      </c>
      <c r="I33" s="46">
        <f t="shared" si="5"/>
        <v>51</v>
      </c>
      <c r="J33" s="33">
        <f t="shared" si="5"/>
        <v>54</v>
      </c>
      <c r="K33" s="33">
        <f>E33-9</f>
        <v>49</v>
      </c>
      <c r="L33" s="41">
        <f t="shared" si="6"/>
        <v>51</v>
      </c>
      <c r="M33" s="41">
        <f t="shared" si="6"/>
        <v>54</v>
      </c>
      <c r="N33" s="42">
        <f t="shared" si="6"/>
        <v>49</v>
      </c>
      <c r="P33" s="31" t="s">
        <v>1519</v>
      </c>
      <c r="Q33" s="33">
        <v>12</v>
      </c>
      <c r="R33" s="33">
        <v>13</v>
      </c>
      <c r="S33" s="33">
        <v>14</v>
      </c>
      <c r="T33" s="33">
        <v>15</v>
      </c>
      <c r="U33" s="33">
        <v>16</v>
      </c>
      <c r="V33" s="33">
        <v>16</v>
      </c>
      <c r="W33" s="33">
        <v>17</v>
      </c>
      <c r="X33" s="32">
        <v>18</v>
      </c>
      <c r="Z33" t="s">
        <v>794</v>
      </c>
      <c r="AA33">
        <v>3</v>
      </c>
    </row>
    <row r="34" spans="1:27" x14ac:dyDescent="0.25">
      <c r="B34" s="40">
        <v>11</v>
      </c>
      <c r="C34" s="41">
        <v>61</v>
      </c>
      <c r="D34" s="41">
        <v>65</v>
      </c>
      <c r="E34" s="41">
        <v>59</v>
      </c>
      <c r="F34" s="41">
        <f t="shared" si="2"/>
        <v>63</v>
      </c>
      <c r="G34" s="41">
        <f t="shared" si="3"/>
        <v>67</v>
      </c>
      <c r="H34" s="42">
        <f t="shared" si="4"/>
        <v>61</v>
      </c>
      <c r="I34" s="67">
        <f>C34-10</f>
        <v>51</v>
      </c>
      <c r="J34" s="41">
        <f>D34-10</f>
        <v>55</v>
      </c>
      <c r="K34" s="41">
        <f>E34-10</f>
        <v>49</v>
      </c>
      <c r="L34" s="41">
        <f>F34-11</f>
        <v>52</v>
      </c>
      <c r="M34" s="41">
        <f>G34-11</f>
        <v>56</v>
      </c>
      <c r="N34" s="42">
        <f>H34-11</f>
        <v>50</v>
      </c>
      <c r="P34" s="31" t="s">
        <v>1521</v>
      </c>
      <c r="Q34" s="33">
        <v>12</v>
      </c>
      <c r="R34" s="33">
        <v>13</v>
      </c>
      <c r="S34" s="33">
        <v>13</v>
      </c>
      <c r="T34" s="33">
        <v>14</v>
      </c>
      <c r="U34" s="33">
        <v>15</v>
      </c>
      <c r="V34" s="33">
        <v>16</v>
      </c>
      <c r="W34" s="33">
        <v>17</v>
      </c>
      <c r="X34" s="32">
        <v>18</v>
      </c>
      <c r="Z34" t="s">
        <v>795</v>
      </c>
      <c r="AA34">
        <v>3</v>
      </c>
    </row>
    <row r="35" spans="1:27" x14ac:dyDescent="0.25">
      <c r="B35" s="40">
        <v>12</v>
      </c>
      <c r="C35" s="41">
        <v>63</v>
      </c>
      <c r="D35" s="41">
        <v>67</v>
      </c>
      <c r="E35" s="41">
        <v>60</v>
      </c>
      <c r="F35" s="41">
        <f t="shared" si="2"/>
        <v>66</v>
      </c>
      <c r="G35" s="41">
        <f t="shared" si="3"/>
        <v>70</v>
      </c>
      <c r="H35" s="42">
        <f t="shared" si="4"/>
        <v>63</v>
      </c>
      <c r="I35" s="67">
        <f t="shared" ref="I35:I42" si="7">C35-10</f>
        <v>53</v>
      </c>
      <c r="J35" s="41">
        <f t="shared" ref="J35:J42" si="8">D35-10</f>
        <v>57</v>
      </c>
      <c r="K35" s="41">
        <f t="shared" ref="K35:K42" si="9">E35-10</f>
        <v>50</v>
      </c>
      <c r="L35" s="41">
        <f t="shared" ref="L35:L42" si="10">F35-11</f>
        <v>55</v>
      </c>
      <c r="M35" s="41">
        <f t="shared" ref="M35:M42" si="11">G35-11</f>
        <v>59</v>
      </c>
      <c r="N35" s="42">
        <f t="shared" ref="N35:N42" si="12">H35-11</f>
        <v>52</v>
      </c>
      <c r="P35" s="31" t="s">
        <v>1520</v>
      </c>
      <c r="Q35" s="33">
        <v>18</v>
      </c>
      <c r="R35" s="33">
        <v>18</v>
      </c>
      <c r="S35" s="33">
        <v>18</v>
      </c>
      <c r="T35" s="33">
        <v>18</v>
      </c>
      <c r="U35" s="33">
        <v>18</v>
      </c>
      <c r="V35" s="33">
        <v>18</v>
      </c>
      <c r="W35" s="33">
        <v>18</v>
      </c>
      <c r="X35" s="32">
        <v>18</v>
      </c>
      <c r="Z35" t="s">
        <v>796</v>
      </c>
      <c r="AA35">
        <v>3</v>
      </c>
    </row>
    <row r="36" spans="1:27" x14ac:dyDescent="0.25">
      <c r="B36" s="40">
        <v>13</v>
      </c>
      <c r="C36" s="41">
        <v>65</v>
      </c>
      <c r="D36" s="41">
        <v>68</v>
      </c>
      <c r="E36" s="41">
        <v>61</v>
      </c>
      <c r="F36" s="41">
        <f t="shared" si="2"/>
        <v>69</v>
      </c>
      <c r="G36" s="41">
        <f t="shared" si="3"/>
        <v>72</v>
      </c>
      <c r="H36" s="42">
        <f t="shared" si="4"/>
        <v>65</v>
      </c>
      <c r="I36" s="67">
        <f t="shared" si="7"/>
        <v>55</v>
      </c>
      <c r="J36" s="41">
        <f t="shared" si="8"/>
        <v>58</v>
      </c>
      <c r="K36" s="41">
        <f t="shared" si="9"/>
        <v>51</v>
      </c>
      <c r="L36" s="41">
        <f t="shared" si="10"/>
        <v>58</v>
      </c>
      <c r="M36" s="41">
        <f t="shared" si="11"/>
        <v>61</v>
      </c>
      <c r="N36" s="42">
        <f t="shared" si="12"/>
        <v>54</v>
      </c>
      <c r="P36" s="31" t="s">
        <v>1522</v>
      </c>
      <c r="Q36" s="33">
        <v>18</v>
      </c>
      <c r="R36" s="33">
        <v>18</v>
      </c>
      <c r="S36" s="33">
        <v>18</v>
      </c>
      <c r="T36" s="33">
        <v>18</v>
      </c>
      <c r="U36" s="33">
        <v>18</v>
      </c>
      <c r="V36" s="33">
        <v>18</v>
      </c>
      <c r="W36" s="33">
        <v>18</v>
      </c>
      <c r="X36" s="32">
        <v>18</v>
      </c>
      <c r="Z36" t="s">
        <v>797</v>
      </c>
      <c r="AA36">
        <v>3</v>
      </c>
    </row>
    <row r="37" spans="1:27" ht="15.75" thickBot="1" x14ac:dyDescent="0.3">
      <c r="B37" s="40">
        <v>14</v>
      </c>
      <c r="C37" s="41">
        <v>67</v>
      </c>
      <c r="D37" s="41">
        <v>69</v>
      </c>
      <c r="E37" s="41">
        <v>63</v>
      </c>
      <c r="F37" s="41">
        <f t="shared" si="2"/>
        <v>72</v>
      </c>
      <c r="G37" s="41">
        <f t="shared" si="3"/>
        <v>74</v>
      </c>
      <c r="H37" s="42">
        <f t="shared" si="4"/>
        <v>68</v>
      </c>
      <c r="I37" s="67">
        <f t="shared" si="7"/>
        <v>57</v>
      </c>
      <c r="J37" s="41">
        <f t="shared" si="8"/>
        <v>59</v>
      </c>
      <c r="K37" s="41">
        <f t="shared" si="9"/>
        <v>53</v>
      </c>
      <c r="L37" s="41">
        <f t="shared" si="10"/>
        <v>61</v>
      </c>
      <c r="M37" s="41">
        <f t="shared" si="11"/>
        <v>63</v>
      </c>
      <c r="N37" s="42">
        <f t="shared" si="12"/>
        <v>57</v>
      </c>
      <c r="P37" s="34" t="s">
        <v>1524</v>
      </c>
      <c r="Q37" s="27">
        <v>18</v>
      </c>
      <c r="R37" s="27">
        <v>18</v>
      </c>
      <c r="S37" s="27">
        <v>18</v>
      </c>
      <c r="T37" s="27">
        <v>18</v>
      </c>
      <c r="U37" s="27">
        <v>18</v>
      </c>
      <c r="V37" s="27">
        <v>18</v>
      </c>
      <c r="W37" s="27">
        <v>18</v>
      </c>
      <c r="X37" s="35">
        <v>18</v>
      </c>
      <c r="Z37" t="s">
        <v>895</v>
      </c>
      <c r="AA37">
        <v>3</v>
      </c>
    </row>
    <row r="38" spans="1:27" x14ac:dyDescent="0.25">
      <c r="B38" s="40">
        <v>15</v>
      </c>
      <c r="C38" s="41">
        <v>68</v>
      </c>
      <c r="D38" s="41">
        <v>70</v>
      </c>
      <c r="E38" s="41">
        <v>65</v>
      </c>
      <c r="F38" s="41">
        <f t="shared" si="2"/>
        <v>74</v>
      </c>
      <c r="G38" s="41">
        <f t="shared" si="3"/>
        <v>76</v>
      </c>
      <c r="H38" s="42">
        <f t="shared" si="4"/>
        <v>71</v>
      </c>
      <c r="I38" s="67">
        <f t="shared" si="7"/>
        <v>58</v>
      </c>
      <c r="J38" s="41">
        <f t="shared" si="8"/>
        <v>60</v>
      </c>
      <c r="K38" s="41">
        <f t="shared" si="9"/>
        <v>55</v>
      </c>
      <c r="L38" s="41">
        <f t="shared" si="10"/>
        <v>63</v>
      </c>
      <c r="M38" s="41">
        <f t="shared" si="11"/>
        <v>65</v>
      </c>
      <c r="N38" s="42">
        <f t="shared" si="12"/>
        <v>60</v>
      </c>
      <c r="Z38" t="s">
        <v>798</v>
      </c>
      <c r="AA38">
        <v>3</v>
      </c>
    </row>
    <row r="39" spans="1:27" x14ac:dyDescent="0.25">
      <c r="B39" s="40">
        <v>16</v>
      </c>
      <c r="C39" s="41">
        <v>69</v>
      </c>
      <c r="D39" s="52">
        <v>70</v>
      </c>
      <c r="E39" s="41">
        <v>67</v>
      </c>
      <c r="F39" s="41">
        <f t="shared" si="2"/>
        <v>76</v>
      </c>
      <c r="G39" s="41">
        <f t="shared" si="3"/>
        <v>77</v>
      </c>
      <c r="H39" s="42">
        <f t="shared" si="4"/>
        <v>74</v>
      </c>
      <c r="I39" s="67">
        <f t="shared" si="7"/>
        <v>59</v>
      </c>
      <c r="J39" s="41">
        <f t="shared" si="8"/>
        <v>60</v>
      </c>
      <c r="K39" s="41">
        <f t="shared" si="9"/>
        <v>57</v>
      </c>
      <c r="L39" s="41">
        <f t="shared" si="10"/>
        <v>65</v>
      </c>
      <c r="M39" s="41">
        <f t="shared" si="11"/>
        <v>66</v>
      </c>
      <c r="N39" s="42">
        <f t="shared" si="12"/>
        <v>63</v>
      </c>
      <c r="Z39" t="s">
        <v>799</v>
      </c>
      <c r="AA39">
        <v>3</v>
      </c>
    </row>
    <row r="40" spans="1:27" x14ac:dyDescent="0.25">
      <c r="A40" s="32"/>
      <c r="B40" s="40">
        <v>17</v>
      </c>
      <c r="C40" s="41">
        <v>70</v>
      </c>
      <c r="D40" s="41">
        <v>70</v>
      </c>
      <c r="E40" s="41">
        <v>68</v>
      </c>
      <c r="F40" s="41">
        <f t="shared" si="2"/>
        <v>77</v>
      </c>
      <c r="G40" s="41">
        <f t="shared" si="3"/>
        <v>77</v>
      </c>
      <c r="H40" s="42">
        <f t="shared" si="4"/>
        <v>75</v>
      </c>
      <c r="I40" s="67">
        <f t="shared" si="7"/>
        <v>60</v>
      </c>
      <c r="J40" s="41">
        <f t="shared" si="8"/>
        <v>60</v>
      </c>
      <c r="K40" s="41">
        <f t="shared" si="9"/>
        <v>58</v>
      </c>
      <c r="L40" s="41">
        <f t="shared" si="10"/>
        <v>66</v>
      </c>
      <c r="M40" s="41">
        <f t="shared" si="11"/>
        <v>66</v>
      </c>
      <c r="N40" s="42">
        <f t="shared" si="12"/>
        <v>64</v>
      </c>
      <c r="T40" s="33"/>
      <c r="U40" s="33"/>
      <c r="Z40" t="s">
        <v>800</v>
      </c>
      <c r="AA40">
        <v>3</v>
      </c>
    </row>
    <row r="41" spans="1:27" x14ac:dyDescent="0.25">
      <c r="A41" s="32"/>
      <c r="B41" s="60">
        <v>18</v>
      </c>
      <c r="C41" s="52">
        <v>70</v>
      </c>
      <c r="D41" s="52">
        <v>70</v>
      </c>
      <c r="E41" s="41">
        <v>69</v>
      </c>
      <c r="F41" s="41">
        <f t="shared" si="2"/>
        <v>77</v>
      </c>
      <c r="G41" s="41">
        <f t="shared" si="3"/>
        <v>77</v>
      </c>
      <c r="H41" s="42">
        <f t="shared" si="4"/>
        <v>76</v>
      </c>
      <c r="I41" s="67">
        <f t="shared" si="7"/>
        <v>60</v>
      </c>
      <c r="J41" s="41">
        <f t="shared" si="8"/>
        <v>60</v>
      </c>
      <c r="K41" s="41">
        <f t="shared" si="9"/>
        <v>59</v>
      </c>
      <c r="L41" s="41">
        <f t="shared" si="10"/>
        <v>66</v>
      </c>
      <c r="M41" s="41">
        <f t="shared" si="11"/>
        <v>66</v>
      </c>
      <c r="N41" s="42">
        <f t="shared" si="12"/>
        <v>65</v>
      </c>
      <c r="T41" s="33"/>
      <c r="U41" s="33"/>
      <c r="Z41" t="s">
        <v>801</v>
      </c>
      <c r="AA41">
        <v>3</v>
      </c>
    </row>
    <row r="42" spans="1:27" ht="15.75" thickBot="1" x14ac:dyDescent="0.3">
      <c r="B42" s="61">
        <v>19</v>
      </c>
      <c r="C42" s="62">
        <v>70</v>
      </c>
      <c r="D42" s="43">
        <v>70</v>
      </c>
      <c r="E42" s="43">
        <v>70</v>
      </c>
      <c r="F42" s="43">
        <f t="shared" si="2"/>
        <v>77</v>
      </c>
      <c r="G42" s="43">
        <f t="shared" si="3"/>
        <v>77</v>
      </c>
      <c r="H42" s="44">
        <f t="shared" si="4"/>
        <v>77</v>
      </c>
      <c r="I42" s="68">
        <f t="shared" si="7"/>
        <v>60</v>
      </c>
      <c r="J42" s="43">
        <f t="shared" si="8"/>
        <v>60</v>
      </c>
      <c r="K42" s="43">
        <f t="shared" si="9"/>
        <v>60</v>
      </c>
      <c r="L42" s="43">
        <f t="shared" si="10"/>
        <v>66</v>
      </c>
      <c r="M42" s="43">
        <f t="shared" si="11"/>
        <v>66</v>
      </c>
      <c r="N42" s="44">
        <f t="shared" si="12"/>
        <v>66</v>
      </c>
      <c r="T42" s="33"/>
      <c r="U42" s="33"/>
      <c r="Z42" t="s">
        <v>802</v>
      </c>
      <c r="AA42">
        <v>3</v>
      </c>
    </row>
    <row r="43" spans="1:27" x14ac:dyDescent="0.25">
      <c r="T43" s="33"/>
      <c r="U43" s="33"/>
      <c r="Z43" t="s">
        <v>805</v>
      </c>
      <c r="AA43">
        <v>3</v>
      </c>
    </row>
    <row r="44" spans="1:27" x14ac:dyDescent="0.25">
      <c r="T44" s="33"/>
      <c r="U44" s="33"/>
      <c r="Z44" t="s">
        <v>807</v>
      </c>
      <c r="AA44">
        <v>3</v>
      </c>
    </row>
    <row r="45" spans="1:27" x14ac:dyDescent="0.25">
      <c r="C45" s="33"/>
      <c r="D45" s="41"/>
      <c r="T45" s="33"/>
      <c r="U45" s="33"/>
      <c r="Z45" t="s">
        <v>1084</v>
      </c>
      <c r="AA45">
        <v>3</v>
      </c>
    </row>
    <row r="46" spans="1:27" x14ac:dyDescent="0.25">
      <c r="C46" s="33"/>
      <c r="D46" s="41"/>
      <c r="T46" s="33"/>
      <c r="U46" s="33"/>
      <c r="Z46" t="s">
        <v>1086</v>
      </c>
      <c r="AA46">
        <v>3</v>
      </c>
    </row>
    <row r="47" spans="1:27" x14ac:dyDescent="0.25">
      <c r="C47" s="33"/>
      <c r="D47" s="41"/>
      <c r="T47" s="33"/>
      <c r="U47" s="33"/>
      <c r="Z47" t="s">
        <v>1089</v>
      </c>
      <c r="AA47">
        <v>3</v>
      </c>
    </row>
    <row r="48" spans="1:27" x14ac:dyDescent="0.25">
      <c r="C48" s="33"/>
      <c r="D48" s="41"/>
      <c r="T48" s="33"/>
      <c r="U48" s="33"/>
      <c r="Z48" t="s">
        <v>1441</v>
      </c>
      <c r="AA48">
        <v>3</v>
      </c>
    </row>
    <row r="49" spans="1:27" x14ac:dyDescent="0.25">
      <c r="C49" s="33"/>
      <c r="D49" s="41"/>
      <c r="T49" s="33"/>
      <c r="U49" s="33"/>
      <c r="Z49" t="s">
        <v>528</v>
      </c>
      <c r="AA49">
        <v>3</v>
      </c>
    </row>
    <row r="50" spans="1:27" x14ac:dyDescent="0.25">
      <c r="C50" s="33"/>
      <c r="D50" s="41"/>
      <c r="T50" s="33"/>
      <c r="U50" s="33"/>
      <c r="Z50" t="s">
        <v>1092</v>
      </c>
      <c r="AA50">
        <v>3</v>
      </c>
    </row>
    <row r="51" spans="1:27" x14ac:dyDescent="0.25">
      <c r="C51" s="33"/>
      <c r="D51" s="41"/>
      <c r="T51" s="33"/>
      <c r="U51" s="33"/>
      <c r="Z51" t="s">
        <v>1095</v>
      </c>
      <c r="AA51">
        <v>3</v>
      </c>
    </row>
    <row r="52" spans="1:27" x14ac:dyDescent="0.25">
      <c r="C52" s="33"/>
      <c r="D52" s="41"/>
      <c r="U52" s="41"/>
      <c r="W52" s="41"/>
      <c r="X52" s="33"/>
      <c r="Z52" t="s">
        <v>1265</v>
      </c>
      <c r="AA52">
        <v>3</v>
      </c>
    </row>
    <row r="53" spans="1:27" x14ac:dyDescent="0.25">
      <c r="A53" s="33"/>
      <c r="C53" s="33"/>
      <c r="D53" s="41"/>
      <c r="I53" s="33"/>
      <c r="J53" s="33"/>
      <c r="K53" s="33"/>
      <c r="L53" s="33"/>
      <c r="M53" s="33"/>
      <c r="N53" s="33"/>
      <c r="O53" s="33"/>
      <c r="P53" s="33"/>
      <c r="Q53" s="33"/>
      <c r="R53" s="33"/>
      <c r="U53" s="41"/>
      <c r="V53" s="41"/>
      <c r="W53" s="41"/>
      <c r="X53" s="33"/>
      <c r="Z53" t="s">
        <v>1266</v>
      </c>
      <c r="AA53">
        <v>3</v>
      </c>
    </row>
    <row r="54" spans="1:27" x14ac:dyDescent="0.25">
      <c r="A54" s="33"/>
      <c r="C54" s="33"/>
      <c r="D54" s="41"/>
      <c r="I54" s="33"/>
      <c r="J54" s="33"/>
      <c r="K54" s="33"/>
      <c r="L54" s="33"/>
      <c r="M54" s="33"/>
      <c r="N54" s="33"/>
      <c r="O54" s="33"/>
      <c r="P54" s="41"/>
      <c r="Q54" s="41"/>
      <c r="R54" s="41"/>
      <c r="U54" s="41"/>
      <c r="V54" s="41"/>
      <c r="W54" s="41"/>
      <c r="X54" s="33"/>
      <c r="Z54" t="s">
        <v>1267</v>
      </c>
      <c r="AA54">
        <v>3</v>
      </c>
    </row>
    <row r="55" spans="1:27" x14ac:dyDescent="0.25">
      <c r="A55" s="33"/>
      <c r="C55" s="33"/>
      <c r="D55" s="41"/>
      <c r="I55" s="33"/>
      <c r="J55" s="33"/>
      <c r="K55" s="33"/>
      <c r="L55" s="33"/>
      <c r="M55" s="33"/>
      <c r="N55" s="33"/>
      <c r="O55" s="33"/>
      <c r="P55" s="41"/>
      <c r="Q55" s="41"/>
      <c r="R55" s="41"/>
      <c r="U55" s="41"/>
      <c r="V55" s="41"/>
      <c r="W55" s="41"/>
      <c r="X55" s="33"/>
      <c r="Z55" t="s">
        <v>1268</v>
      </c>
      <c r="AA55">
        <v>3</v>
      </c>
    </row>
    <row r="56" spans="1:27" x14ac:dyDescent="0.25">
      <c r="A56" s="33"/>
      <c r="B56" s="33"/>
      <c r="C56" s="33"/>
      <c r="D56" s="41"/>
      <c r="I56" s="33"/>
      <c r="J56" s="33"/>
      <c r="K56" s="33"/>
      <c r="L56" s="33"/>
      <c r="M56" s="33"/>
      <c r="N56" s="33"/>
      <c r="O56" s="33"/>
      <c r="P56" s="41"/>
      <c r="Q56" s="41"/>
      <c r="R56" s="41"/>
      <c r="U56" s="41"/>
      <c r="V56" s="41"/>
      <c r="W56" s="41"/>
      <c r="X56" s="33"/>
      <c r="Z56" t="s">
        <v>1100</v>
      </c>
      <c r="AA56">
        <v>3</v>
      </c>
    </row>
    <row r="57" spans="1:27" x14ac:dyDescent="0.25">
      <c r="A57" s="33"/>
      <c r="B57" s="41"/>
      <c r="C57" s="33"/>
      <c r="D57" s="41"/>
      <c r="I57" s="33"/>
      <c r="J57" s="33"/>
      <c r="K57" s="33"/>
      <c r="L57" s="33"/>
      <c r="M57" s="33"/>
      <c r="N57" s="33"/>
      <c r="O57" s="33"/>
      <c r="P57" s="41"/>
      <c r="Q57" s="41"/>
      <c r="R57" s="41"/>
      <c r="U57" s="41"/>
      <c r="V57" s="41"/>
      <c r="W57" s="41"/>
      <c r="X57" s="33"/>
      <c r="Z57" t="s">
        <v>1269</v>
      </c>
      <c r="AA57">
        <v>3</v>
      </c>
    </row>
    <row r="58" spans="1:27" x14ac:dyDescent="0.25">
      <c r="A58" s="33"/>
      <c r="B58" s="41"/>
      <c r="C58" s="33"/>
      <c r="D58" s="41"/>
      <c r="I58" s="33"/>
      <c r="J58" s="33"/>
      <c r="K58" s="33"/>
      <c r="L58" s="33"/>
      <c r="M58" s="33"/>
      <c r="N58" s="33"/>
      <c r="O58" s="33"/>
      <c r="P58" s="41"/>
      <c r="Q58" s="41"/>
      <c r="R58" s="41"/>
      <c r="U58" s="41"/>
      <c r="V58" s="41"/>
      <c r="W58" s="41"/>
      <c r="X58" s="33"/>
      <c r="Z58" t="s">
        <v>1418</v>
      </c>
      <c r="AA58">
        <v>3</v>
      </c>
    </row>
    <row r="59" spans="1:27" x14ac:dyDescent="0.25">
      <c r="A59" s="33"/>
      <c r="B59" s="41"/>
      <c r="C59" s="33"/>
      <c r="D59" s="41"/>
      <c r="I59" s="33"/>
      <c r="J59" s="33"/>
      <c r="K59" s="33"/>
      <c r="L59" s="33"/>
      <c r="M59" s="33"/>
      <c r="N59" s="33"/>
      <c r="O59" s="33"/>
      <c r="P59" s="41"/>
      <c r="Q59" s="41"/>
      <c r="R59" s="41"/>
      <c r="U59" s="41"/>
      <c r="V59" s="41"/>
      <c r="W59" s="41"/>
      <c r="X59" s="33"/>
    </row>
    <row r="60" spans="1:27" x14ac:dyDescent="0.25">
      <c r="A60" s="33"/>
      <c r="B60" s="41"/>
      <c r="C60" s="33"/>
      <c r="D60" s="41"/>
      <c r="I60" s="33"/>
      <c r="J60" s="33"/>
      <c r="K60" s="33"/>
      <c r="L60" s="33"/>
      <c r="M60" s="33"/>
      <c r="N60" s="33"/>
      <c r="O60" s="33"/>
      <c r="P60" s="41"/>
      <c r="Q60" s="41"/>
      <c r="R60" s="41"/>
      <c r="U60" s="33"/>
      <c r="V60" s="33"/>
      <c r="W60" s="33"/>
      <c r="X60" s="33"/>
    </row>
    <row r="61" spans="1:27" x14ac:dyDescent="0.25">
      <c r="A61" s="33"/>
      <c r="B61" s="41"/>
      <c r="C61" s="33"/>
      <c r="D61" s="41"/>
      <c r="I61" s="33"/>
      <c r="J61" s="33"/>
      <c r="K61" s="33"/>
      <c r="L61" s="33"/>
      <c r="M61" s="33"/>
      <c r="N61" s="33"/>
      <c r="O61" s="33"/>
      <c r="P61" s="41"/>
      <c r="Q61" s="41"/>
      <c r="R61" s="41"/>
    </row>
    <row r="62" spans="1:27" x14ac:dyDescent="0.25">
      <c r="A62" s="33"/>
      <c r="B62" s="41"/>
      <c r="C62" s="33"/>
      <c r="D62" s="41"/>
      <c r="I62" s="33"/>
      <c r="J62" s="33"/>
      <c r="K62" s="33"/>
      <c r="L62" s="33"/>
      <c r="M62" s="33"/>
      <c r="N62" s="33"/>
      <c r="O62" s="33"/>
      <c r="P62" s="33"/>
      <c r="Q62" s="33"/>
      <c r="R62" s="33"/>
    </row>
    <row r="63" spans="1:27" x14ac:dyDescent="0.25">
      <c r="A63" s="33"/>
      <c r="B63" s="41"/>
      <c r="C63" s="33"/>
      <c r="D63" s="41"/>
      <c r="I63" s="33"/>
      <c r="J63" s="33"/>
      <c r="K63" s="33"/>
      <c r="L63" s="33"/>
      <c r="M63" s="33"/>
      <c r="N63" s="33"/>
      <c r="O63" s="33"/>
      <c r="P63" s="33"/>
      <c r="Q63" s="33"/>
      <c r="R63" s="33"/>
    </row>
    <row r="64" spans="1:27" x14ac:dyDescent="0.25">
      <c r="A64" s="33"/>
      <c r="B64" s="41"/>
      <c r="C64" s="33"/>
      <c r="D64" s="41"/>
      <c r="I64" s="33"/>
      <c r="J64" s="33"/>
      <c r="K64" s="33"/>
      <c r="L64" s="33"/>
      <c r="M64" s="33"/>
      <c r="N64" s="33"/>
      <c r="O64" s="33"/>
      <c r="P64" s="33"/>
      <c r="Q64" s="33"/>
      <c r="R64" s="33"/>
    </row>
    <row r="65" spans="1:18" x14ac:dyDescent="0.25">
      <c r="A65" s="33"/>
      <c r="B65" s="33"/>
      <c r="C65" s="33"/>
      <c r="D65" s="41"/>
      <c r="I65" s="33"/>
      <c r="J65" s="33"/>
      <c r="K65" s="33"/>
      <c r="L65" s="33"/>
      <c r="M65" s="33"/>
      <c r="N65" s="33"/>
      <c r="O65" s="33"/>
      <c r="P65" s="41"/>
      <c r="Q65" s="41"/>
      <c r="R65" s="41"/>
    </row>
    <row r="66" spans="1:18" x14ac:dyDescent="0.25">
      <c r="A66" s="33"/>
      <c r="B66" s="33"/>
      <c r="C66" s="33"/>
      <c r="D66" s="41"/>
      <c r="I66" s="33"/>
      <c r="J66" s="33"/>
      <c r="K66" s="33"/>
      <c r="L66" s="33"/>
      <c r="M66" s="33"/>
      <c r="N66" s="33"/>
      <c r="O66" s="33"/>
      <c r="P66" s="41"/>
      <c r="Q66" s="41"/>
      <c r="R66" s="41"/>
    </row>
    <row r="67" spans="1:18" x14ac:dyDescent="0.25">
      <c r="A67" s="33"/>
      <c r="B67" s="33"/>
      <c r="C67" s="33"/>
      <c r="D67" s="41"/>
      <c r="I67" s="33"/>
      <c r="J67" s="33"/>
      <c r="K67" s="33"/>
      <c r="L67" s="33"/>
      <c r="M67" s="33"/>
      <c r="N67" s="33"/>
      <c r="O67" s="33"/>
      <c r="P67" s="41"/>
      <c r="Q67" s="41"/>
      <c r="R67" s="41"/>
    </row>
    <row r="68" spans="1:18" x14ac:dyDescent="0.25">
      <c r="A68" s="33"/>
      <c r="B68" s="41"/>
      <c r="C68" s="33"/>
      <c r="D68" s="41"/>
      <c r="I68" s="33"/>
      <c r="J68" s="33"/>
      <c r="K68" s="33"/>
      <c r="L68" s="33"/>
      <c r="M68" s="33"/>
      <c r="N68" s="33"/>
      <c r="O68" s="33"/>
      <c r="P68" s="41"/>
      <c r="Q68" s="41"/>
      <c r="R68" s="41"/>
    </row>
    <row r="69" spans="1:18" x14ac:dyDescent="0.25">
      <c r="A69" s="33"/>
      <c r="B69" s="41"/>
      <c r="C69" s="33"/>
      <c r="D69" s="41"/>
      <c r="I69" s="33"/>
      <c r="J69" s="33"/>
      <c r="K69" s="33"/>
      <c r="L69" s="33"/>
      <c r="M69" s="33"/>
      <c r="N69" s="33"/>
      <c r="O69" s="33"/>
      <c r="P69" s="41"/>
      <c r="Q69" s="41"/>
      <c r="R69" s="41"/>
    </row>
    <row r="70" spans="1:18" x14ac:dyDescent="0.25">
      <c r="A70" s="33"/>
      <c r="B70" s="41"/>
      <c r="C70" s="33"/>
      <c r="D70" s="41"/>
      <c r="I70" s="33"/>
      <c r="J70" s="33"/>
      <c r="K70" s="33"/>
      <c r="L70" s="33"/>
      <c r="M70" s="33"/>
      <c r="N70" s="33"/>
      <c r="O70" s="33"/>
      <c r="P70" s="41"/>
      <c r="Q70" s="41"/>
      <c r="R70" s="41"/>
    </row>
    <row r="71" spans="1:18" x14ac:dyDescent="0.25">
      <c r="A71" s="33"/>
      <c r="B71" s="41"/>
      <c r="C71" s="33"/>
      <c r="D71" s="41"/>
      <c r="I71" s="33"/>
      <c r="J71" s="33"/>
      <c r="K71" s="33"/>
      <c r="L71" s="33"/>
      <c r="M71" s="33"/>
      <c r="N71" s="33"/>
      <c r="O71" s="33"/>
      <c r="P71" s="41"/>
      <c r="Q71" s="41"/>
      <c r="R71" s="41"/>
    </row>
    <row r="72" spans="1:18" x14ac:dyDescent="0.25">
      <c r="A72" s="33"/>
      <c r="B72" s="41"/>
      <c r="C72" s="33"/>
      <c r="D72" s="41"/>
      <c r="I72" s="33"/>
      <c r="J72" s="33"/>
      <c r="K72" s="33"/>
      <c r="L72" s="33"/>
      <c r="M72" s="33"/>
      <c r="N72" s="33"/>
      <c r="O72" s="33"/>
      <c r="P72" s="41"/>
      <c r="Q72" s="41"/>
      <c r="R72" s="41"/>
    </row>
    <row r="73" spans="1:18" x14ac:dyDescent="0.25">
      <c r="A73" s="33"/>
      <c r="B73" s="41"/>
      <c r="C73" s="33"/>
      <c r="D73" s="41"/>
      <c r="I73" s="33"/>
      <c r="J73" s="33"/>
      <c r="K73" s="33"/>
      <c r="L73" s="33"/>
      <c r="M73" s="33"/>
      <c r="N73" s="33"/>
      <c r="O73" s="33"/>
      <c r="P73" s="33"/>
      <c r="Q73" s="33"/>
      <c r="R73" s="33"/>
    </row>
    <row r="74" spans="1:18" x14ac:dyDescent="0.25">
      <c r="A74" s="33"/>
      <c r="B74" s="41"/>
      <c r="C74" s="33"/>
      <c r="D74" s="41"/>
      <c r="I74" s="33"/>
      <c r="J74" s="33"/>
      <c r="K74" s="33"/>
      <c r="L74" s="33"/>
      <c r="M74" s="33"/>
      <c r="N74" s="33"/>
      <c r="O74" s="33"/>
      <c r="P74" s="33"/>
      <c r="Q74" s="33"/>
      <c r="R74" s="33"/>
    </row>
    <row r="75" spans="1:18" x14ac:dyDescent="0.25">
      <c r="A75" s="33"/>
      <c r="B75" s="41"/>
      <c r="C75" s="33"/>
      <c r="D75" s="41"/>
      <c r="I75" s="33"/>
      <c r="J75" s="33"/>
      <c r="K75" s="33"/>
      <c r="L75" s="33"/>
      <c r="M75" s="33"/>
      <c r="N75" s="33"/>
      <c r="O75" s="33"/>
      <c r="P75" s="33"/>
      <c r="Q75" s="33"/>
      <c r="R75" s="33"/>
    </row>
    <row r="76" spans="1:18" x14ac:dyDescent="0.25">
      <c r="A76" s="33"/>
      <c r="B76" s="33"/>
      <c r="C76" s="33"/>
      <c r="D76" s="41"/>
      <c r="I76" s="33"/>
      <c r="J76" s="33"/>
      <c r="K76" s="33"/>
      <c r="L76" s="33"/>
      <c r="M76" s="33"/>
      <c r="N76" s="33"/>
      <c r="O76" s="33"/>
      <c r="P76" s="41"/>
      <c r="Q76" s="33"/>
      <c r="R76" s="33"/>
    </row>
    <row r="77" spans="1:18" x14ac:dyDescent="0.25">
      <c r="A77" s="33"/>
      <c r="B77" s="33"/>
      <c r="C77" s="33"/>
      <c r="D77" s="41"/>
      <c r="I77" s="33"/>
      <c r="J77" s="33"/>
      <c r="K77" s="33"/>
      <c r="L77" s="33"/>
      <c r="M77" s="33"/>
      <c r="N77" s="33"/>
      <c r="O77" s="33"/>
      <c r="P77" s="41"/>
      <c r="Q77" s="33"/>
      <c r="R77" s="33"/>
    </row>
    <row r="78" spans="1:18" x14ac:dyDescent="0.25">
      <c r="A78" s="33"/>
      <c r="B78" s="33"/>
      <c r="C78" s="33"/>
      <c r="D78" s="41"/>
      <c r="I78" s="33"/>
      <c r="J78" s="33"/>
      <c r="K78" s="33"/>
      <c r="L78" s="33"/>
      <c r="M78" s="33"/>
      <c r="N78" s="33"/>
      <c r="O78" s="33"/>
      <c r="P78" s="41"/>
      <c r="Q78" s="33"/>
      <c r="R78" s="33"/>
    </row>
    <row r="79" spans="1:18" x14ac:dyDescent="0.25">
      <c r="A79" s="33"/>
      <c r="B79" s="41"/>
      <c r="C79" s="33"/>
      <c r="D79" s="41"/>
      <c r="I79" s="33"/>
      <c r="J79" s="33"/>
      <c r="K79" s="33"/>
      <c r="L79" s="33"/>
      <c r="M79" s="33"/>
      <c r="N79" s="33"/>
      <c r="O79" s="33"/>
      <c r="P79" s="41"/>
      <c r="Q79" s="33"/>
      <c r="R79" s="33"/>
    </row>
    <row r="80" spans="1:18" x14ac:dyDescent="0.25">
      <c r="A80" s="33"/>
      <c r="B80" s="41"/>
      <c r="C80" s="33"/>
      <c r="D80" s="41"/>
      <c r="I80" s="33"/>
      <c r="J80" s="33"/>
      <c r="K80" s="33"/>
      <c r="L80" s="33"/>
      <c r="M80" s="33"/>
      <c r="N80" s="33"/>
      <c r="O80" s="33"/>
      <c r="P80" s="41"/>
      <c r="Q80" s="33"/>
      <c r="R80" s="33"/>
    </row>
    <row r="81" spans="1:18" x14ac:dyDescent="0.25">
      <c r="A81" s="33"/>
      <c r="B81" s="41"/>
      <c r="C81" s="33"/>
      <c r="D81" s="41"/>
      <c r="I81" s="33"/>
      <c r="J81" s="33"/>
      <c r="K81" s="33"/>
      <c r="L81" s="33"/>
      <c r="M81" s="33"/>
      <c r="N81" s="33"/>
      <c r="O81" s="33"/>
      <c r="P81" s="41"/>
      <c r="Q81" s="51"/>
      <c r="R81" s="33"/>
    </row>
    <row r="82" spans="1:18" x14ac:dyDescent="0.25">
      <c r="A82" s="33"/>
      <c r="B82" s="41"/>
      <c r="C82" s="33"/>
      <c r="D82" s="41"/>
      <c r="I82" s="33"/>
      <c r="J82" s="33"/>
      <c r="K82" s="33"/>
      <c r="L82" s="33"/>
      <c r="M82" s="33"/>
      <c r="N82" s="33"/>
      <c r="O82" s="33"/>
      <c r="P82" s="41"/>
      <c r="Q82" s="51"/>
      <c r="R82" s="33"/>
    </row>
    <row r="83" spans="1:18" x14ac:dyDescent="0.25">
      <c r="A83" s="33"/>
      <c r="B83" s="41"/>
      <c r="C83" s="33"/>
      <c r="D83" s="41"/>
      <c r="I83" s="33"/>
      <c r="J83" s="33"/>
      <c r="K83" s="33"/>
      <c r="L83" s="33"/>
      <c r="M83" s="33"/>
      <c r="N83" s="33"/>
      <c r="O83" s="33"/>
      <c r="P83" s="41"/>
      <c r="Q83" s="51"/>
      <c r="R83" s="33"/>
    </row>
    <row r="84" spans="1:18" x14ac:dyDescent="0.25">
      <c r="A84" s="33"/>
      <c r="B84" s="41"/>
      <c r="C84" s="33"/>
      <c r="D84" s="41"/>
      <c r="I84" s="33"/>
      <c r="J84" s="33"/>
      <c r="K84" s="33"/>
      <c r="L84" s="33"/>
      <c r="M84" s="33"/>
      <c r="N84" s="33"/>
      <c r="O84" s="33"/>
      <c r="P84" s="52"/>
      <c r="Q84" s="51"/>
      <c r="R84" s="33"/>
    </row>
    <row r="85" spans="1:18" x14ac:dyDescent="0.25">
      <c r="A85" s="33"/>
      <c r="B85" s="41"/>
      <c r="C85" s="33"/>
      <c r="D85" s="33"/>
      <c r="I85" s="33"/>
      <c r="J85" s="33"/>
      <c r="K85" s="33"/>
      <c r="L85" s="33"/>
      <c r="M85" s="33"/>
      <c r="N85" s="33"/>
      <c r="O85" s="33"/>
      <c r="P85" s="52"/>
      <c r="Q85" s="33"/>
      <c r="R85" s="33"/>
    </row>
    <row r="86" spans="1:18" x14ac:dyDescent="0.25">
      <c r="B86" s="41"/>
      <c r="C86" s="33"/>
      <c r="D86" s="33"/>
    </row>
    <row r="87" spans="1:18" x14ac:dyDescent="0.25">
      <c r="B87" s="52"/>
      <c r="C87" s="33"/>
      <c r="D87" s="33"/>
    </row>
    <row r="88" spans="1:18" x14ac:dyDescent="0.25">
      <c r="B88" s="52"/>
      <c r="C88" s="33"/>
      <c r="D88" s="33"/>
    </row>
    <row r="89" spans="1:18" x14ac:dyDescent="0.25">
      <c r="C89" s="33"/>
      <c r="D89" s="33"/>
    </row>
    <row r="90" spans="1:18" x14ac:dyDescent="0.25">
      <c r="C90" s="33"/>
      <c r="D90" s="51"/>
    </row>
    <row r="91" spans="1:18" x14ac:dyDescent="0.25">
      <c r="C91" s="33"/>
      <c r="D91" s="51"/>
    </row>
    <row r="92" spans="1:18" x14ac:dyDescent="0.25">
      <c r="C92" s="33"/>
      <c r="D92" s="51"/>
    </row>
    <row r="93" spans="1:18" x14ac:dyDescent="0.25">
      <c r="C93" s="33"/>
      <c r="D93" s="51"/>
    </row>
    <row r="94" spans="1:18" x14ac:dyDescent="0.25">
      <c r="C94" s="33"/>
      <c r="D94" s="33"/>
    </row>
    <row r="95" spans="1:18" x14ac:dyDescent="0.25">
      <c r="C95" s="33"/>
      <c r="D95" s="33"/>
    </row>
    <row r="96" spans="1:18" x14ac:dyDescent="0.25">
      <c r="C96" s="33"/>
      <c r="D96" s="33"/>
    </row>
    <row r="97" spans="3:4" x14ac:dyDescent="0.25">
      <c r="C97" s="33"/>
      <c r="D97" s="33"/>
    </row>
    <row r="98" spans="3:4" x14ac:dyDescent="0.25">
      <c r="C98" s="33"/>
      <c r="D98" s="33"/>
    </row>
    <row r="99" spans="3:4" x14ac:dyDescent="0.25">
      <c r="C99" s="33"/>
      <c r="D99" s="33"/>
    </row>
    <row r="100" spans="3:4" x14ac:dyDescent="0.25">
      <c r="C100" s="33"/>
      <c r="D100" s="33"/>
    </row>
    <row r="101" spans="3:4" x14ac:dyDescent="0.25">
      <c r="C101" s="33"/>
      <c r="D101" s="33"/>
    </row>
    <row r="102" spans="3:4" x14ac:dyDescent="0.25">
      <c r="C102" s="33"/>
      <c r="D102" s="33"/>
    </row>
    <row r="103" spans="3:4" x14ac:dyDescent="0.25">
      <c r="C103" s="33"/>
      <c r="D103" s="33"/>
    </row>
    <row r="104" spans="3:4" x14ac:dyDescent="0.25">
      <c r="C104" s="33"/>
      <c r="D104" s="33"/>
    </row>
    <row r="105" spans="3:4" x14ac:dyDescent="0.25">
      <c r="C105" s="33"/>
      <c r="D105" s="41"/>
    </row>
    <row r="106" spans="3:4" x14ac:dyDescent="0.25">
      <c r="C106" s="33"/>
      <c r="D106" s="41"/>
    </row>
    <row r="107" spans="3:4" x14ac:dyDescent="0.25">
      <c r="C107" s="33"/>
      <c r="D107" s="41"/>
    </row>
    <row r="108" spans="3:4" x14ac:dyDescent="0.25">
      <c r="C108" s="33"/>
      <c r="D108" s="41"/>
    </row>
    <row r="109" spans="3:4" x14ac:dyDescent="0.25">
      <c r="C109" s="33"/>
      <c r="D109" s="41"/>
    </row>
    <row r="110" spans="3:4" x14ac:dyDescent="0.25">
      <c r="C110" s="33"/>
      <c r="D110" s="41"/>
    </row>
    <row r="111" spans="3:4" x14ac:dyDescent="0.25">
      <c r="C111" s="33"/>
      <c r="D111" s="41"/>
    </row>
    <row r="112" spans="3:4" x14ac:dyDescent="0.25">
      <c r="C112" s="33"/>
      <c r="D112" s="41"/>
    </row>
    <row r="113" spans="3:4" x14ac:dyDescent="0.25">
      <c r="C113" s="33"/>
      <c r="D113" s="41"/>
    </row>
    <row r="114" spans="3:4" x14ac:dyDescent="0.25">
      <c r="C114" s="33"/>
      <c r="D114" s="41"/>
    </row>
    <row r="115" spans="3:4" x14ac:dyDescent="0.25">
      <c r="C115" s="33"/>
      <c r="D115" s="41"/>
    </row>
    <row r="116" spans="3:4" x14ac:dyDescent="0.25">
      <c r="C116" s="33"/>
      <c r="D116" s="41"/>
    </row>
    <row r="117" spans="3:4" x14ac:dyDescent="0.25">
      <c r="C117" s="33"/>
      <c r="D117" s="41"/>
    </row>
    <row r="118" spans="3:4" x14ac:dyDescent="0.25">
      <c r="C118" s="33"/>
      <c r="D118" s="41"/>
    </row>
    <row r="119" spans="3:4" x14ac:dyDescent="0.25">
      <c r="C119" s="33"/>
      <c r="D119" s="41"/>
    </row>
    <row r="120" spans="3:4" x14ac:dyDescent="0.25">
      <c r="C120" s="33"/>
      <c r="D120" s="41"/>
    </row>
    <row r="121" spans="3:4" x14ac:dyDescent="0.25">
      <c r="C121" s="33"/>
      <c r="D121" s="41"/>
    </row>
    <row r="122" spans="3:4" x14ac:dyDescent="0.25">
      <c r="C122" s="33"/>
      <c r="D122" s="41"/>
    </row>
    <row r="123" spans="3:4" x14ac:dyDescent="0.25">
      <c r="C123" s="33"/>
      <c r="D123" s="41"/>
    </row>
    <row r="124" spans="3:4" x14ac:dyDescent="0.25">
      <c r="C124" s="33"/>
      <c r="D124" s="41"/>
    </row>
    <row r="125" spans="3:4" x14ac:dyDescent="0.25">
      <c r="C125" s="33"/>
      <c r="D125" s="41"/>
    </row>
    <row r="126" spans="3:4" x14ac:dyDescent="0.25">
      <c r="C126" s="33"/>
      <c r="D126" s="41"/>
    </row>
    <row r="127" spans="3:4" x14ac:dyDescent="0.25">
      <c r="C127" s="33"/>
      <c r="D127" s="41"/>
    </row>
    <row r="128" spans="3:4" x14ac:dyDescent="0.25">
      <c r="C128" s="33"/>
      <c r="D128" s="41"/>
    </row>
    <row r="129" spans="3:4" x14ac:dyDescent="0.25">
      <c r="C129" s="33"/>
      <c r="D129" s="41"/>
    </row>
    <row r="130" spans="3:4" x14ac:dyDescent="0.25">
      <c r="C130" s="33"/>
      <c r="D130" s="41"/>
    </row>
    <row r="131" spans="3:4" x14ac:dyDescent="0.25">
      <c r="C131" s="33"/>
      <c r="D131" s="41"/>
    </row>
    <row r="132" spans="3:4" x14ac:dyDescent="0.25">
      <c r="C132" s="33"/>
      <c r="D132" s="41"/>
    </row>
    <row r="133" spans="3:4" x14ac:dyDescent="0.25">
      <c r="C133" s="33"/>
      <c r="D133" s="41"/>
    </row>
    <row r="134" spans="3:4" x14ac:dyDescent="0.25">
      <c r="C134" s="33"/>
      <c r="D134" s="41"/>
    </row>
    <row r="135" spans="3:4" x14ac:dyDescent="0.25">
      <c r="C135" s="33"/>
      <c r="D135" s="41"/>
    </row>
    <row r="136" spans="3:4" x14ac:dyDescent="0.25">
      <c r="C136" s="33"/>
      <c r="D136" s="41"/>
    </row>
    <row r="137" spans="3:4" x14ac:dyDescent="0.25">
      <c r="C137" s="33"/>
      <c r="D137" s="41"/>
    </row>
    <row r="138" spans="3:4" x14ac:dyDescent="0.25">
      <c r="C138" s="33"/>
      <c r="D138" s="41"/>
    </row>
    <row r="139" spans="3:4" x14ac:dyDescent="0.25">
      <c r="C139" s="33"/>
      <c r="D139" s="41"/>
    </row>
    <row r="140" spans="3:4" x14ac:dyDescent="0.25">
      <c r="C140" s="33"/>
      <c r="D140" s="41"/>
    </row>
    <row r="141" spans="3:4" x14ac:dyDescent="0.25">
      <c r="C141" s="33"/>
      <c r="D141" s="41"/>
    </row>
    <row r="142" spans="3:4" x14ac:dyDescent="0.25">
      <c r="C142" s="33"/>
      <c r="D142" s="41"/>
    </row>
    <row r="143" spans="3:4" x14ac:dyDescent="0.25">
      <c r="C143" s="33"/>
      <c r="D143" s="41"/>
    </row>
    <row r="144" spans="3:4" x14ac:dyDescent="0.25">
      <c r="C144" s="33"/>
      <c r="D144" s="41"/>
    </row>
    <row r="145" spans="3:4" x14ac:dyDescent="0.25">
      <c r="C145" s="33"/>
      <c r="D145" s="33"/>
    </row>
    <row r="146" spans="3:4" x14ac:dyDescent="0.25">
      <c r="C146" s="33"/>
      <c r="D146" s="33"/>
    </row>
    <row r="147" spans="3:4" x14ac:dyDescent="0.25">
      <c r="C147" s="33"/>
      <c r="D147" s="33"/>
    </row>
    <row r="148" spans="3:4" x14ac:dyDescent="0.25">
      <c r="C148" s="33"/>
      <c r="D148" s="33"/>
    </row>
    <row r="149" spans="3:4" x14ac:dyDescent="0.25">
      <c r="C149" s="33"/>
      <c r="D149" s="33"/>
    </row>
    <row r="150" spans="3:4" x14ac:dyDescent="0.25">
      <c r="C150" s="33"/>
      <c r="D150" s="51"/>
    </row>
    <row r="151" spans="3:4" x14ac:dyDescent="0.25">
      <c r="C151" s="33"/>
      <c r="D151" s="51"/>
    </row>
    <row r="152" spans="3:4" x14ac:dyDescent="0.25">
      <c r="C152" s="33"/>
      <c r="D152" s="51"/>
    </row>
    <row r="153" spans="3:4" x14ac:dyDescent="0.25">
      <c r="C153" s="33"/>
      <c r="D153" s="51"/>
    </row>
    <row r="154" spans="3:4" x14ac:dyDescent="0.25">
      <c r="C154" s="33"/>
      <c r="D154" s="33"/>
    </row>
    <row r="155" spans="3:4" x14ac:dyDescent="0.25">
      <c r="C155" s="33"/>
      <c r="D155" s="33"/>
    </row>
    <row r="156" spans="3:4" x14ac:dyDescent="0.25">
      <c r="C156" s="33"/>
      <c r="D156" s="33"/>
    </row>
    <row r="157" spans="3:4" x14ac:dyDescent="0.25">
      <c r="C157" s="33"/>
      <c r="D157" s="33"/>
    </row>
    <row r="158" spans="3:4" x14ac:dyDescent="0.25">
      <c r="C158" s="33"/>
      <c r="D158" s="33"/>
    </row>
    <row r="159" spans="3:4" x14ac:dyDescent="0.25">
      <c r="C159" s="33"/>
      <c r="D159" s="33"/>
    </row>
    <row r="160" spans="3:4" x14ac:dyDescent="0.25">
      <c r="C160" s="33"/>
      <c r="D160" s="33"/>
    </row>
    <row r="161" spans="3:8" x14ac:dyDescent="0.25">
      <c r="C161" s="33"/>
      <c r="D161" s="33"/>
    </row>
    <row r="162" spans="3:8" x14ac:dyDescent="0.25">
      <c r="C162" s="33"/>
      <c r="D162" s="33"/>
      <c r="F162" s="33"/>
      <c r="G162" s="33"/>
      <c r="H162" s="33"/>
    </row>
    <row r="163" spans="3:8" x14ac:dyDescent="0.25">
      <c r="C163" s="33"/>
      <c r="D163" s="33"/>
      <c r="F163" s="33"/>
      <c r="G163" s="33"/>
      <c r="H163" s="33"/>
    </row>
    <row r="164" spans="3:8" x14ac:dyDescent="0.25">
      <c r="C164" s="33"/>
      <c r="D164" s="33"/>
      <c r="F164" s="33"/>
      <c r="G164" s="33"/>
      <c r="H164" s="33"/>
    </row>
    <row r="165" spans="3:8" x14ac:dyDescent="0.25">
      <c r="E165" s="33"/>
      <c r="F165" s="33"/>
      <c r="G165" s="33"/>
      <c r="H165" s="33"/>
    </row>
    <row r="166" spans="3:8" x14ac:dyDescent="0.25">
      <c r="E166" s="33"/>
      <c r="F166" s="33"/>
      <c r="G166" s="33"/>
      <c r="H166" s="33"/>
    </row>
    <row r="167" spans="3:8" x14ac:dyDescent="0.25">
      <c r="E167" s="33"/>
      <c r="F167" s="33"/>
      <c r="G167" s="33"/>
      <c r="H167" s="33"/>
    </row>
    <row r="168" spans="3:8" x14ac:dyDescent="0.25">
      <c r="E168" s="33"/>
      <c r="F168" s="33"/>
      <c r="G168" s="33"/>
      <c r="H168" s="33"/>
    </row>
    <row r="169" spans="3:8" x14ac:dyDescent="0.25">
      <c r="E169" s="33"/>
      <c r="F169" s="33"/>
      <c r="G169" s="33"/>
      <c r="H169" s="33"/>
    </row>
    <row r="170" spans="3:8" x14ac:dyDescent="0.25">
      <c r="E170" s="33"/>
      <c r="F170" s="33"/>
      <c r="G170" s="33"/>
      <c r="H170" s="33"/>
    </row>
    <row r="171" spans="3:8" x14ac:dyDescent="0.25">
      <c r="E171" s="33"/>
      <c r="F171" s="33"/>
      <c r="G171" s="33"/>
      <c r="H171" s="33"/>
    </row>
    <row r="172" spans="3:8" x14ac:dyDescent="0.25">
      <c r="E172" s="33"/>
      <c r="F172" s="33"/>
      <c r="G172" s="33"/>
      <c r="H172" s="33"/>
    </row>
    <row r="173" spans="3:8" x14ac:dyDescent="0.25">
      <c r="E173" s="33"/>
      <c r="F173" s="33"/>
      <c r="G173" s="33"/>
      <c r="H173" s="33"/>
    </row>
    <row r="174" spans="3:8" x14ac:dyDescent="0.25">
      <c r="E174" s="33"/>
      <c r="F174" s="33"/>
      <c r="G174" s="33"/>
      <c r="H174" s="33"/>
    </row>
    <row r="175" spans="3:8" x14ac:dyDescent="0.25">
      <c r="E175" s="33"/>
      <c r="F175" s="33"/>
      <c r="G175" s="33"/>
      <c r="H175" s="33"/>
    </row>
    <row r="176" spans="3:8" x14ac:dyDescent="0.25">
      <c r="E176" s="33"/>
      <c r="F176" s="33"/>
      <c r="G176" s="33"/>
      <c r="H176" s="33"/>
    </row>
    <row r="177" spans="5:8" x14ac:dyDescent="0.25">
      <c r="E177" s="33"/>
      <c r="F177" s="33"/>
      <c r="G177" s="33"/>
      <c r="H177" s="33"/>
    </row>
    <row r="178" spans="5:8" x14ac:dyDescent="0.25">
      <c r="E178" s="33"/>
      <c r="F178" s="33"/>
      <c r="G178" s="33"/>
      <c r="H178" s="33"/>
    </row>
    <row r="179" spans="5:8" x14ac:dyDescent="0.25">
      <c r="E179" s="33"/>
      <c r="F179" s="33"/>
      <c r="G179" s="33"/>
      <c r="H179" s="33"/>
    </row>
    <row r="180" spans="5:8" x14ac:dyDescent="0.25">
      <c r="E180" s="33"/>
      <c r="F180" s="33"/>
      <c r="G180" s="33"/>
      <c r="H180" s="33"/>
    </row>
    <row r="181" spans="5:8" x14ac:dyDescent="0.25">
      <c r="E181" s="33"/>
      <c r="F181" s="33"/>
      <c r="G181" s="33"/>
      <c r="H181" s="33"/>
    </row>
    <row r="182" spans="5:8" x14ac:dyDescent="0.25">
      <c r="E182" s="33"/>
      <c r="F182" s="33"/>
      <c r="G182" s="33"/>
      <c r="H182" s="33"/>
    </row>
    <row r="183" spans="5:8" x14ac:dyDescent="0.25">
      <c r="E183" s="33"/>
      <c r="F183" s="33"/>
      <c r="G183" s="33"/>
      <c r="H183" s="33"/>
    </row>
    <row r="184" spans="5:8" x14ac:dyDescent="0.25">
      <c r="E184" s="33"/>
      <c r="F184" s="33"/>
      <c r="G184" s="33"/>
      <c r="H184" s="33"/>
    </row>
    <row r="185" spans="5:8" x14ac:dyDescent="0.25">
      <c r="E185" s="33"/>
      <c r="F185" s="33"/>
      <c r="G185" s="33"/>
      <c r="H185" s="33"/>
    </row>
    <row r="186" spans="5:8" x14ac:dyDescent="0.25">
      <c r="E186" s="33"/>
      <c r="F186" s="33"/>
      <c r="G186" s="33"/>
      <c r="H186" s="33"/>
    </row>
    <row r="187" spans="5:8" x14ac:dyDescent="0.25">
      <c r="E187" s="33"/>
      <c r="F187" s="33"/>
      <c r="G187" s="33"/>
      <c r="H187" s="33"/>
    </row>
    <row r="188" spans="5:8" x14ac:dyDescent="0.25">
      <c r="E188" s="33"/>
      <c r="F188" s="33"/>
      <c r="G188" s="33"/>
      <c r="H188" s="33"/>
    </row>
    <row r="189" spans="5:8" x14ac:dyDescent="0.25">
      <c r="E189" s="33"/>
      <c r="F189" s="33"/>
      <c r="G189" s="33"/>
      <c r="H189" s="33"/>
    </row>
    <row r="190" spans="5:8" x14ac:dyDescent="0.25">
      <c r="E190" s="33"/>
      <c r="F190" s="33"/>
      <c r="G190" s="33"/>
      <c r="H190" s="33"/>
    </row>
    <row r="191" spans="5:8" x14ac:dyDescent="0.25">
      <c r="E191" s="33"/>
      <c r="F191" s="33"/>
      <c r="G191" s="33"/>
      <c r="H191" s="33"/>
    </row>
    <row r="192" spans="5:8" x14ac:dyDescent="0.25">
      <c r="E192" s="33"/>
      <c r="F192" s="33"/>
      <c r="G192" s="33"/>
      <c r="H192" s="33"/>
    </row>
    <row r="193" spans="5:8" x14ac:dyDescent="0.25">
      <c r="E193" s="33"/>
      <c r="F193" s="33"/>
      <c r="G193" s="33"/>
      <c r="H193" s="33"/>
    </row>
    <row r="194" spans="5:8" x14ac:dyDescent="0.25">
      <c r="E194" s="33"/>
      <c r="F194" s="33"/>
      <c r="G194" s="33"/>
      <c r="H194" s="33"/>
    </row>
    <row r="195" spans="5:8" x14ac:dyDescent="0.25">
      <c r="E195" s="33"/>
      <c r="F195" s="33"/>
      <c r="G195" s="33"/>
      <c r="H195" s="33"/>
    </row>
    <row r="196" spans="5:8" x14ac:dyDescent="0.25">
      <c r="E196" s="33"/>
      <c r="F196" s="33"/>
      <c r="G196" s="33"/>
      <c r="H196" s="33"/>
    </row>
    <row r="197" spans="5:8" x14ac:dyDescent="0.25">
      <c r="E197" s="33"/>
      <c r="F197" s="33"/>
      <c r="G197" s="33"/>
      <c r="H197" s="33"/>
    </row>
    <row r="198" spans="5:8" x14ac:dyDescent="0.25">
      <c r="E198" s="33"/>
      <c r="F198" s="33"/>
      <c r="G198" s="33"/>
      <c r="H198" s="33"/>
    </row>
    <row r="199" spans="5:8" x14ac:dyDescent="0.25">
      <c r="E199" s="33"/>
      <c r="F199" s="33"/>
      <c r="G199" s="33"/>
      <c r="H199" s="33"/>
    </row>
    <row r="200" spans="5:8" x14ac:dyDescent="0.25">
      <c r="E200" s="33"/>
      <c r="F200" s="33"/>
      <c r="G200" s="33"/>
      <c r="H200" s="33"/>
    </row>
    <row r="201" spans="5:8" x14ac:dyDescent="0.25">
      <c r="E201" s="33"/>
      <c r="F201" s="33"/>
      <c r="G201" s="33"/>
      <c r="H201" s="33"/>
    </row>
    <row r="202" spans="5:8" x14ac:dyDescent="0.25">
      <c r="E202" s="33"/>
      <c r="F202" s="33"/>
      <c r="G202" s="33"/>
      <c r="H202" s="33"/>
    </row>
    <row r="203" spans="5:8" x14ac:dyDescent="0.25">
      <c r="E203" s="33"/>
      <c r="F203" s="33"/>
      <c r="G203" s="33"/>
      <c r="H203" s="33"/>
    </row>
    <row r="204" spans="5:8" x14ac:dyDescent="0.25">
      <c r="E204" s="33"/>
      <c r="F204" s="33"/>
      <c r="G204" s="33"/>
      <c r="H204" s="33"/>
    </row>
    <row r="205" spans="5:8" x14ac:dyDescent="0.25">
      <c r="E205" s="33"/>
      <c r="F205" s="33"/>
      <c r="G205" s="33"/>
      <c r="H205" s="33"/>
    </row>
    <row r="206" spans="5:8" x14ac:dyDescent="0.25">
      <c r="E206" s="33"/>
      <c r="F206" s="33"/>
      <c r="G206" s="33"/>
      <c r="H206" s="33"/>
    </row>
    <row r="207" spans="5:8" x14ac:dyDescent="0.25">
      <c r="E207" s="33"/>
      <c r="F207" s="33"/>
      <c r="G207" s="33"/>
      <c r="H207" s="33"/>
    </row>
    <row r="208" spans="5:8" x14ac:dyDescent="0.25">
      <c r="E208" s="33"/>
      <c r="F208" s="33"/>
      <c r="G208" s="33"/>
      <c r="H208" s="33"/>
    </row>
    <row r="209" spans="5:8" x14ac:dyDescent="0.25">
      <c r="E209" s="33"/>
      <c r="F209" s="33"/>
      <c r="G209" s="33"/>
      <c r="H209" s="33"/>
    </row>
    <row r="210" spans="5:8" x14ac:dyDescent="0.25">
      <c r="E210" s="33"/>
      <c r="F210" s="33"/>
      <c r="G210" s="33"/>
      <c r="H210" s="33"/>
    </row>
    <row r="211" spans="5:8" x14ac:dyDescent="0.25">
      <c r="E211" s="33"/>
      <c r="F211" s="33"/>
      <c r="G211" s="33"/>
      <c r="H211" s="33"/>
    </row>
    <row r="212" spans="5:8" x14ac:dyDescent="0.25">
      <c r="E212" s="33"/>
      <c r="F212" s="33"/>
      <c r="G212" s="33"/>
      <c r="H212" s="33"/>
    </row>
    <row r="213" spans="5:8" x14ac:dyDescent="0.25">
      <c r="E213" s="33"/>
      <c r="F213" s="33"/>
      <c r="G213" s="33"/>
      <c r="H213" s="33"/>
    </row>
    <row r="214" spans="5:8" x14ac:dyDescent="0.25">
      <c r="E214" s="33"/>
      <c r="F214" s="33"/>
      <c r="G214" s="33"/>
      <c r="H214" s="33"/>
    </row>
    <row r="215" spans="5:8" x14ac:dyDescent="0.25">
      <c r="E215" s="33"/>
      <c r="F215" s="33"/>
      <c r="G215" s="33"/>
      <c r="H215" s="33"/>
    </row>
    <row r="216" spans="5:8" x14ac:dyDescent="0.25">
      <c r="E216" s="33"/>
      <c r="F216" s="33"/>
      <c r="G216" s="33"/>
      <c r="H216" s="33"/>
    </row>
    <row r="217" spans="5:8" x14ac:dyDescent="0.25">
      <c r="E217" s="33"/>
      <c r="F217" s="33"/>
      <c r="G217" s="33"/>
      <c r="H217" s="33"/>
    </row>
    <row r="218" spans="5:8" x14ac:dyDescent="0.25">
      <c r="E218" s="33"/>
      <c r="F218" s="33"/>
      <c r="G218" s="33"/>
      <c r="H218" s="33"/>
    </row>
    <row r="219" spans="5:8" x14ac:dyDescent="0.25">
      <c r="E219" s="33"/>
      <c r="F219" s="33"/>
      <c r="G219" s="33"/>
      <c r="H219" s="33"/>
    </row>
    <row r="220" spans="5:8" x14ac:dyDescent="0.25">
      <c r="E220" s="33"/>
      <c r="F220" s="33"/>
      <c r="G220" s="33"/>
      <c r="H220" s="33"/>
    </row>
    <row r="221" spans="5:8" x14ac:dyDescent="0.25">
      <c r="E221" s="33"/>
      <c r="F221" s="33"/>
      <c r="G221" s="33"/>
      <c r="H221" s="33"/>
    </row>
    <row r="222" spans="5:8" x14ac:dyDescent="0.25">
      <c r="E222" s="33"/>
      <c r="F222" s="33"/>
      <c r="G222" s="33"/>
      <c r="H222" s="33"/>
    </row>
    <row r="223" spans="5:8" x14ac:dyDescent="0.25">
      <c r="E223" s="33"/>
      <c r="F223" s="33"/>
      <c r="G223" s="33"/>
      <c r="H223" s="33"/>
    </row>
    <row r="224" spans="5:8" x14ac:dyDescent="0.25">
      <c r="E224" s="33"/>
      <c r="F224" s="33"/>
      <c r="G224" s="33"/>
      <c r="H224" s="33"/>
    </row>
    <row r="225" spans="5:8" x14ac:dyDescent="0.25">
      <c r="E225" s="33"/>
      <c r="F225" s="33"/>
      <c r="G225" s="33"/>
      <c r="H225" s="33"/>
    </row>
    <row r="226" spans="5:8" x14ac:dyDescent="0.25">
      <c r="E226" s="33"/>
      <c r="F226" s="33"/>
      <c r="G226" s="33"/>
      <c r="H226" s="33"/>
    </row>
    <row r="227" spans="5:8" x14ac:dyDescent="0.25">
      <c r="E227" s="33"/>
      <c r="F227" s="33"/>
      <c r="G227" s="33"/>
      <c r="H227" s="33"/>
    </row>
    <row r="228" spans="5:8" x14ac:dyDescent="0.25">
      <c r="E228" s="33"/>
      <c r="F228" s="33"/>
      <c r="G228" s="33"/>
      <c r="H228" s="33"/>
    </row>
    <row r="229" spans="5:8" x14ac:dyDescent="0.25">
      <c r="E229" s="33"/>
      <c r="F229" s="33"/>
      <c r="G229" s="33"/>
      <c r="H229" s="33"/>
    </row>
    <row r="230" spans="5:8" x14ac:dyDescent="0.25">
      <c r="E230" s="33"/>
      <c r="F230" s="33"/>
      <c r="G230" s="33"/>
      <c r="H230" s="33"/>
    </row>
    <row r="231" spans="5:8" x14ac:dyDescent="0.25">
      <c r="E231" s="33"/>
      <c r="F231" s="33"/>
      <c r="G231" s="33"/>
      <c r="H231" s="33"/>
    </row>
    <row r="232" spans="5:8" x14ac:dyDescent="0.25">
      <c r="E232" s="33"/>
      <c r="F232" s="33"/>
      <c r="G232" s="33"/>
      <c r="H232" s="33"/>
    </row>
    <row r="233" spans="5:8" x14ac:dyDescent="0.25">
      <c r="E233" s="33"/>
      <c r="F233" s="33"/>
      <c r="G233" s="33"/>
      <c r="H233" s="33"/>
    </row>
    <row r="234" spans="5:8" x14ac:dyDescent="0.25">
      <c r="E234" s="33"/>
      <c r="F234" s="33"/>
      <c r="G234" s="33"/>
      <c r="H234" s="33"/>
    </row>
    <row r="235" spans="5:8" x14ac:dyDescent="0.25">
      <c r="E235" s="33"/>
      <c r="F235" s="33"/>
      <c r="G235" s="33"/>
      <c r="H235" s="33"/>
    </row>
    <row r="236" spans="5:8" x14ac:dyDescent="0.25">
      <c r="E236" s="33"/>
      <c r="F236" s="33"/>
      <c r="G236" s="33"/>
      <c r="H236" s="33"/>
    </row>
    <row r="237" spans="5:8" x14ac:dyDescent="0.25">
      <c r="E237" s="33"/>
      <c r="F237" s="33"/>
      <c r="G237" s="33"/>
      <c r="H237" s="33"/>
    </row>
    <row r="238" spans="5:8" x14ac:dyDescent="0.25">
      <c r="E238" s="33"/>
      <c r="F238" s="33"/>
      <c r="G238" s="33"/>
      <c r="H238" s="33"/>
    </row>
    <row r="239" spans="5:8" x14ac:dyDescent="0.25">
      <c r="E239" s="33"/>
      <c r="F239" s="33"/>
      <c r="G239" s="33"/>
      <c r="H239" s="33"/>
    </row>
    <row r="240" spans="5:8" x14ac:dyDescent="0.25">
      <c r="E240" s="33"/>
      <c r="F240" s="33"/>
      <c r="G240" s="33"/>
      <c r="H240" s="33"/>
    </row>
    <row r="241" spans="5:8" x14ac:dyDescent="0.25">
      <c r="E241" s="33"/>
      <c r="F241" s="33"/>
      <c r="G241" s="33"/>
      <c r="H241" s="33"/>
    </row>
    <row r="242" spans="5:8" x14ac:dyDescent="0.25">
      <c r="E242" s="33"/>
      <c r="F242" s="33"/>
      <c r="G242" s="33"/>
      <c r="H242" s="33"/>
    </row>
    <row r="243" spans="5:8" x14ac:dyDescent="0.25">
      <c r="E243" s="33"/>
      <c r="F243" s="33"/>
      <c r="G243" s="33"/>
      <c r="H243" s="33"/>
    </row>
    <row r="244" spans="5:8" x14ac:dyDescent="0.25">
      <c r="E244" s="33"/>
      <c r="F244" s="33"/>
      <c r="G244" s="33"/>
      <c r="H244" s="33"/>
    </row>
    <row r="245" spans="5:8" x14ac:dyDescent="0.25">
      <c r="E245" s="33"/>
      <c r="F245" s="33"/>
      <c r="G245" s="33"/>
      <c r="H245" s="33"/>
    </row>
    <row r="246" spans="5:8" x14ac:dyDescent="0.25">
      <c r="E246" s="33"/>
      <c r="F246" s="33"/>
      <c r="G246" s="33"/>
      <c r="H246" s="33"/>
    </row>
    <row r="247" spans="5:8" x14ac:dyDescent="0.25">
      <c r="E247" s="33"/>
      <c r="F247" s="33"/>
      <c r="G247" s="33"/>
      <c r="H247" s="33"/>
    </row>
    <row r="248" spans="5:8" x14ac:dyDescent="0.25">
      <c r="E248" s="33"/>
      <c r="F248" s="33"/>
      <c r="G248" s="33"/>
      <c r="H248" s="33"/>
    </row>
    <row r="249" spans="5:8" x14ac:dyDescent="0.25">
      <c r="E249" s="33"/>
      <c r="F249" s="33"/>
      <c r="G249" s="33"/>
      <c r="H249" s="33"/>
    </row>
    <row r="250" spans="5:8" x14ac:dyDescent="0.25">
      <c r="E250" s="33"/>
      <c r="F250" s="33"/>
      <c r="G250" s="33"/>
      <c r="H250" s="33"/>
    </row>
    <row r="251" spans="5:8" x14ac:dyDescent="0.25">
      <c r="E251" s="33"/>
      <c r="F251" s="33"/>
      <c r="G251" s="33"/>
      <c r="H251" s="33"/>
    </row>
    <row r="252" spans="5:8" x14ac:dyDescent="0.25">
      <c r="E252" s="33"/>
      <c r="F252" s="33"/>
      <c r="G252" s="33"/>
      <c r="H252" s="33"/>
    </row>
    <row r="253" spans="5:8" x14ac:dyDescent="0.25">
      <c r="E253" s="33"/>
      <c r="F253" s="33"/>
      <c r="G253" s="33"/>
      <c r="H253" s="33"/>
    </row>
    <row r="254" spans="5:8" x14ac:dyDescent="0.25">
      <c r="E254" s="33"/>
      <c r="F254" s="33"/>
      <c r="G254" s="33"/>
      <c r="H254" s="33"/>
    </row>
    <row r="255" spans="5:8" x14ac:dyDescent="0.25">
      <c r="E255" s="33"/>
      <c r="F255" s="33"/>
      <c r="G255" s="33"/>
      <c r="H255" s="33"/>
    </row>
    <row r="256" spans="5:8" x14ac:dyDescent="0.25">
      <c r="E256" s="33"/>
      <c r="F256" s="33"/>
      <c r="G256" s="33"/>
      <c r="H256" s="33"/>
    </row>
    <row r="257" spans="5:8" x14ac:dyDescent="0.25">
      <c r="E257" s="33"/>
      <c r="F257" s="33"/>
      <c r="G257" s="33"/>
      <c r="H257" s="33"/>
    </row>
    <row r="258" spans="5:8" x14ac:dyDescent="0.25">
      <c r="E258" s="33"/>
      <c r="F258" s="33"/>
      <c r="G258" s="33"/>
      <c r="H258" s="33"/>
    </row>
    <row r="259" spans="5:8" x14ac:dyDescent="0.25">
      <c r="E259" s="33"/>
      <c r="F259" s="33"/>
      <c r="G259" s="33"/>
      <c r="H259" s="33"/>
    </row>
    <row r="260" spans="5:8" x14ac:dyDescent="0.25">
      <c r="E260" s="33"/>
      <c r="F260" s="33"/>
      <c r="G260" s="33"/>
      <c r="H260" s="33"/>
    </row>
    <row r="261" spans="5:8" x14ac:dyDescent="0.25">
      <c r="E261" s="33"/>
      <c r="F261" s="33"/>
      <c r="G261" s="33"/>
      <c r="H261" s="33"/>
    </row>
    <row r="262" spans="5:8" x14ac:dyDescent="0.25">
      <c r="E262" s="33"/>
      <c r="F262" s="33"/>
      <c r="G262" s="33"/>
      <c r="H262" s="33"/>
    </row>
    <row r="263" spans="5:8" x14ac:dyDescent="0.25">
      <c r="E263" s="33"/>
      <c r="F263" s="33"/>
      <c r="G263" s="33"/>
      <c r="H263" s="33"/>
    </row>
    <row r="264" spans="5:8" x14ac:dyDescent="0.25">
      <c r="E264" s="33"/>
      <c r="F264" s="33"/>
      <c r="G264" s="33"/>
      <c r="H264" s="33"/>
    </row>
    <row r="265" spans="5:8" x14ac:dyDescent="0.25">
      <c r="E265" s="33"/>
      <c r="F265" s="33"/>
      <c r="G265" s="33"/>
      <c r="H265" s="33"/>
    </row>
    <row r="266" spans="5:8" x14ac:dyDescent="0.25">
      <c r="E266" s="33"/>
      <c r="F266" s="33"/>
      <c r="G266" s="33"/>
      <c r="H266" s="33"/>
    </row>
    <row r="267" spans="5:8" x14ac:dyDescent="0.25">
      <c r="E267" s="33"/>
      <c r="F267" s="33"/>
      <c r="G267" s="33"/>
      <c r="H267" s="33"/>
    </row>
    <row r="268" spans="5:8" x14ac:dyDescent="0.25">
      <c r="E268" s="33"/>
      <c r="F268" s="33"/>
      <c r="G268" s="33"/>
      <c r="H268" s="33"/>
    </row>
    <row r="269" spans="5:8" x14ac:dyDescent="0.25">
      <c r="E269" s="33"/>
      <c r="F269" s="33"/>
      <c r="G269" s="33"/>
      <c r="H269" s="33"/>
    </row>
    <row r="270" spans="5:8" x14ac:dyDescent="0.25">
      <c r="E270" s="33"/>
      <c r="F270" s="33"/>
      <c r="G270" s="33"/>
      <c r="H270" s="33"/>
    </row>
    <row r="271" spans="5:8" x14ac:dyDescent="0.25">
      <c r="E271" s="33"/>
      <c r="F271" s="33"/>
      <c r="G271" s="33"/>
      <c r="H271" s="33"/>
    </row>
    <row r="272" spans="5:8" x14ac:dyDescent="0.25">
      <c r="E272" s="33"/>
      <c r="F272" s="33"/>
      <c r="G272" s="33"/>
      <c r="H272" s="33"/>
    </row>
    <row r="273" spans="5:8" x14ac:dyDescent="0.25">
      <c r="E273" s="33"/>
      <c r="F273" s="33"/>
      <c r="G273" s="33"/>
      <c r="H273" s="33"/>
    </row>
    <row r="274" spans="5:8" x14ac:dyDescent="0.25">
      <c r="E274" s="33"/>
      <c r="F274" s="33"/>
      <c r="G274" s="33"/>
      <c r="H274" s="33"/>
    </row>
    <row r="275" spans="5:8" x14ac:dyDescent="0.25">
      <c r="E275" s="33"/>
      <c r="F275" s="33"/>
      <c r="G275" s="33"/>
      <c r="H275" s="33"/>
    </row>
    <row r="276" spans="5:8" x14ac:dyDescent="0.25">
      <c r="E276" s="33"/>
      <c r="F276" s="33"/>
      <c r="G276" s="33"/>
      <c r="H276" s="33"/>
    </row>
    <row r="277" spans="5:8" x14ac:dyDescent="0.25">
      <c r="E277" s="33"/>
      <c r="F277" s="33"/>
      <c r="G277" s="33"/>
      <c r="H277" s="33"/>
    </row>
    <row r="278" spans="5:8" x14ac:dyDescent="0.25">
      <c r="E278" s="33"/>
      <c r="F278" s="33"/>
      <c r="G278" s="33"/>
      <c r="H278" s="33"/>
    </row>
    <row r="279" spans="5:8" x14ac:dyDescent="0.25">
      <c r="E279" s="33"/>
      <c r="F279" s="33"/>
      <c r="G279" s="33"/>
      <c r="H279" s="33"/>
    </row>
    <row r="280" spans="5:8" x14ac:dyDescent="0.25">
      <c r="E280" s="33"/>
      <c r="F280" s="33"/>
      <c r="G280" s="33"/>
      <c r="H280" s="33"/>
    </row>
    <row r="281" spans="5:8" x14ac:dyDescent="0.25">
      <c r="E281" s="33"/>
      <c r="F281" s="33"/>
      <c r="G281" s="33"/>
      <c r="H281" s="33"/>
    </row>
    <row r="282" spans="5:8" x14ac:dyDescent="0.25">
      <c r="E282" s="33"/>
      <c r="F282" s="33"/>
      <c r="G282" s="33"/>
      <c r="H282" s="33"/>
    </row>
    <row r="283" spans="5:8" x14ac:dyDescent="0.25">
      <c r="E283" s="33"/>
      <c r="F283" s="33"/>
      <c r="G283" s="33"/>
      <c r="H283" s="33"/>
    </row>
    <row r="284" spans="5:8" x14ac:dyDescent="0.25">
      <c r="E284" s="33"/>
      <c r="F284" s="33"/>
      <c r="G284" s="33"/>
      <c r="H284" s="33"/>
    </row>
    <row r="285" spans="5:8" x14ac:dyDescent="0.25">
      <c r="E285" s="33"/>
      <c r="F285" s="33"/>
      <c r="G285" s="33"/>
      <c r="H285" s="33"/>
    </row>
    <row r="286" spans="5:8" x14ac:dyDescent="0.25">
      <c r="E286" s="33"/>
      <c r="F286" s="33"/>
      <c r="G286" s="33"/>
      <c r="H286" s="33"/>
    </row>
    <row r="287" spans="5:8" x14ac:dyDescent="0.25">
      <c r="E287" s="33"/>
      <c r="F287" s="33"/>
      <c r="G287" s="33"/>
      <c r="H287" s="33"/>
    </row>
    <row r="288" spans="5:8" x14ac:dyDescent="0.25">
      <c r="E288" s="33"/>
      <c r="F288" s="33"/>
      <c r="G288" s="33"/>
      <c r="H288" s="33"/>
    </row>
    <row r="289" spans="5:8" x14ac:dyDescent="0.25">
      <c r="E289" s="33"/>
      <c r="F289" s="33"/>
      <c r="G289" s="33"/>
      <c r="H289" s="33"/>
    </row>
    <row r="290" spans="5:8" x14ac:dyDescent="0.25">
      <c r="E290" s="33"/>
      <c r="F290" s="33"/>
      <c r="G290" s="33"/>
      <c r="H290" s="33"/>
    </row>
    <row r="291" spans="5:8" x14ac:dyDescent="0.25">
      <c r="E291" s="33"/>
      <c r="F291" s="33"/>
      <c r="G291" s="33"/>
      <c r="H291" s="33"/>
    </row>
    <row r="292" spans="5:8" x14ac:dyDescent="0.25">
      <c r="E292" s="33"/>
      <c r="F292" s="33"/>
      <c r="G292" s="33"/>
      <c r="H292" s="33"/>
    </row>
    <row r="293" spans="5:8" x14ac:dyDescent="0.25">
      <c r="E293" s="33"/>
      <c r="F293" s="33"/>
      <c r="G293" s="33"/>
      <c r="H293" s="33"/>
    </row>
    <row r="294" spans="5:8" x14ac:dyDescent="0.25">
      <c r="E294" s="33"/>
      <c r="F294" s="33"/>
      <c r="G294" s="33"/>
      <c r="H294" s="33"/>
    </row>
    <row r="295" spans="5:8" x14ac:dyDescent="0.25">
      <c r="E295" s="33"/>
      <c r="F295" s="33"/>
      <c r="G295" s="33"/>
      <c r="H295" s="33"/>
    </row>
    <row r="296" spans="5:8" x14ac:dyDescent="0.25">
      <c r="E296" s="33"/>
      <c r="F296" s="33"/>
      <c r="G296" s="33"/>
      <c r="H296" s="33"/>
    </row>
    <row r="297" spans="5:8" x14ac:dyDescent="0.25">
      <c r="E297" s="33"/>
      <c r="F297" s="33"/>
      <c r="G297" s="33"/>
      <c r="H297" s="33"/>
    </row>
    <row r="298" spans="5:8" x14ac:dyDescent="0.25">
      <c r="E298" s="33"/>
      <c r="F298" s="33"/>
      <c r="G298" s="33"/>
      <c r="H298" s="33"/>
    </row>
    <row r="299" spans="5:8" x14ac:dyDescent="0.25">
      <c r="E299" s="33"/>
      <c r="F299" s="33"/>
      <c r="G299" s="33"/>
      <c r="H299" s="33"/>
    </row>
    <row r="300" spans="5:8" x14ac:dyDescent="0.25">
      <c r="E300" s="33"/>
      <c r="F300" s="33"/>
      <c r="G300" s="33"/>
      <c r="H300" s="33"/>
    </row>
    <row r="301" spans="5:8" x14ac:dyDescent="0.25">
      <c r="E301" s="33"/>
      <c r="F301" s="33"/>
      <c r="G301" s="33"/>
      <c r="H301" s="33"/>
    </row>
    <row r="302" spans="5:8" x14ac:dyDescent="0.25">
      <c r="E302" s="33"/>
      <c r="F302" s="33"/>
      <c r="G302" s="33"/>
      <c r="H302" s="33"/>
    </row>
    <row r="303" spans="5:8" x14ac:dyDescent="0.25">
      <c r="E303" s="33"/>
      <c r="F303" s="33"/>
      <c r="G303" s="33"/>
      <c r="H303" s="33"/>
    </row>
    <row r="304" spans="5:8" x14ac:dyDescent="0.25">
      <c r="E304" s="33"/>
      <c r="F304" s="33"/>
      <c r="G304" s="33"/>
      <c r="H304" s="33"/>
    </row>
    <row r="305" spans="5:8" x14ac:dyDescent="0.25">
      <c r="E305" s="33"/>
      <c r="F305" s="33"/>
      <c r="G305" s="33"/>
      <c r="H305" s="33"/>
    </row>
    <row r="306" spans="5:8" x14ac:dyDescent="0.25">
      <c r="E306" s="33"/>
      <c r="F306" s="33"/>
      <c r="G306" s="33"/>
      <c r="H306" s="33"/>
    </row>
    <row r="307" spans="5:8" x14ac:dyDescent="0.25">
      <c r="E307" s="33"/>
      <c r="F307" s="33"/>
      <c r="G307" s="33"/>
      <c r="H307" s="33"/>
    </row>
    <row r="308" spans="5:8" x14ac:dyDescent="0.25">
      <c r="E308" s="33"/>
      <c r="F308" s="33"/>
      <c r="G308" s="33"/>
      <c r="H308" s="33"/>
    </row>
    <row r="309" spans="5:8" x14ac:dyDescent="0.25">
      <c r="E309" s="33"/>
      <c r="F309" s="33"/>
      <c r="G309" s="33"/>
      <c r="H309" s="33"/>
    </row>
    <row r="310" spans="5:8" x14ac:dyDescent="0.25">
      <c r="E310" s="33"/>
      <c r="F310" s="33"/>
      <c r="G310" s="33"/>
      <c r="H310" s="33"/>
    </row>
    <row r="311" spans="5:8" x14ac:dyDescent="0.25">
      <c r="E311" s="33"/>
      <c r="F311" s="33"/>
      <c r="G311" s="33"/>
      <c r="H311" s="33"/>
    </row>
    <row r="312" spans="5:8" x14ac:dyDescent="0.25">
      <c r="E312" s="33"/>
      <c r="F312" s="33"/>
      <c r="G312" s="33"/>
      <c r="H312" s="33"/>
    </row>
    <row r="313" spans="5:8" x14ac:dyDescent="0.25">
      <c r="E313" s="33"/>
      <c r="F313" s="33"/>
      <c r="G313" s="33"/>
      <c r="H313" s="33"/>
    </row>
    <row r="314" spans="5:8" x14ac:dyDescent="0.25">
      <c r="E314" s="33"/>
      <c r="F314" s="33"/>
      <c r="G314" s="33"/>
      <c r="H314" s="33"/>
    </row>
    <row r="315" spans="5:8" x14ac:dyDescent="0.25">
      <c r="E315" s="33"/>
      <c r="F315" s="33"/>
      <c r="G315" s="33"/>
      <c r="H315" s="33"/>
    </row>
    <row r="316" spans="5:8" x14ac:dyDescent="0.25">
      <c r="E316" s="33"/>
      <c r="F316" s="33"/>
      <c r="G316" s="33"/>
      <c r="H316" s="33"/>
    </row>
    <row r="317" spans="5:8" x14ac:dyDescent="0.25">
      <c r="E317" s="33"/>
      <c r="F317" s="33"/>
      <c r="G317" s="33"/>
      <c r="H317" s="33"/>
    </row>
    <row r="318" spans="5:8" x14ac:dyDescent="0.25">
      <c r="E318" s="33"/>
      <c r="F318" s="33"/>
      <c r="G318" s="33"/>
      <c r="H318" s="33"/>
    </row>
    <row r="319" spans="5:8" x14ac:dyDescent="0.25">
      <c r="E319" s="33"/>
      <c r="F319" s="33"/>
      <c r="G319" s="33"/>
      <c r="H319" s="33"/>
    </row>
    <row r="320" spans="5:8" x14ac:dyDescent="0.25">
      <c r="E320" s="33"/>
      <c r="F320" s="33"/>
      <c r="G320" s="33"/>
      <c r="H320" s="33"/>
    </row>
    <row r="321" spans="5:8" x14ac:dyDescent="0.25">
      <c r="E321" s="33"/>
      <c r="F321" s="33"/>
      <c r="G321" s="33"/>
      <c r="H321" s="33"/>
    </row>
    <row r="322" spans="5:8" x14ac:dyDescent="0.25">
      <c r="E322" s="33"/>
      <c r="F322" s="33"/>
      <c r="G322" s="33"/>
      <c r="H322" s="33"/>
    </row>
    <row r="323" spans="5:8" x14ac:dyDescent="0.25">
      <c r="E323" s="33"/>
      <c r="F323" s="33"/>
      <c r="G323" s="33"/>
      <c r="H323" s="33"/>
    </row>
    <row r="324" spans="5:8" x14ac:dyDescent="0.25">
      <c r="E324" s="33"/>
      <c r="F324" s="33"/>
      <c r="G324" s="33"/>
      <c r="H324" s="33"/>
    </row>
    <row r="325" spans="5:8" x14ac:dyDescent="0.25">
      <c r="E325" s="33"/>
      <c r="F325" s="33"/>
      <c r="G325" s="33"/>
      <c r="H325" s="33"/>
    </row>
    <row r="326" spans="5:8" x14ac:dyDescent="0.25">
      <c r="E326" s="33"/>
      <c r="F326" s="33"/>
      <c r="G326" s="33"/>
      <c r="H326" s="33"/>
    </row>
    <row r="327" spans="5:8" x14ac:dyDescent="0.25">
      <c r="E327" s="33"/>
      <c r="F327" s="33"/>
      <c r="G327" s="33"/>
      <c r="H327" s="33"/>
    </row>
    <row r="328" spans="5:8" x14ac:dyDescent="0.25">
      <c r="E328" s="33"/>
      <c r="F328" s="33"/>
      <c r="G328" s="33"/>
      <c r="H328" s="33"/>
    </row>
    <row r="329" spans="5:8" x14ac:dyDescent="0.25">
      <c r="E329" s="33"/>
      <c r="F329" s="33"/>
      <c r="G329" s="33"/>
      <c r="H329" s="33"/>
    </row>
    <row r="330" spans="5:8" x14ac:dyDescent="0.25">
      <c r="E330" s="33"/>
      <c r="F330" s="33"/>
      <c r="G330" s="33"/>
      <c r="H330" s="33"/>
    </row>
    <row r="331" spans="5:8" x14ac:dyDescent="0.25">
      <c r="E331" s="33"/>
      <c r="F331" s="33"/>
      <c r="G331" s="33"/>
      <c r="H331" s="33"/>
    </row>
    <row r="332" spans="5:8" x14ac:dyDescent="0.25">
      <c r="E332" s="33"/>
      <c r="F332" s="33"/>
      <c r="G332" s="33"/>
      <c r="H332" s="33"/>
    </row>
    <row r="333" spans="5:8" x14ac:dyDescent="0.25">
      <c r="E333" s="33"/>
      <c r="F333" s="33"/>
      <c r="G333" s="33"/>
      <c r="H333" s="33"/>
    </row>
    <row r="334" spans="5:8" x14ac:dyDescent="0.25">
      <c r="E334" s="33"/>
      <c r="F334" s="33"/>
      <c r="G334" s="33"/>
      <c r="H334" s="33"/>
    </row>
    <row r="335" spans="5:8" x14ac:dyDescent="0.25">
      <c r="E335" s="33"/>
      <c r="F335" s="33"/>
      <c r="G335" s="33"/>
      <c r="H335" s="33"/>
    </row>
    <row r="336" spans="5:8" x14ac:dyDescent="0.25">
      <c r="E336" s="33"/>
      <c r="F336" s="33"/>
      <c r="G336" s="33"/>
      <c r="H336" s="33"/>
    </row>
    <row r="337" spans="5:8" x14ac:dyDescent="0.25">
      <c r="E337" s="33"/>
      <c r="F337" s="33"/>
      <c r="G337" s="33"/>
      <c r="H337" s="33"/>
    </row>
    <row r="338" spans="5:8" x14ac:dyDescent="0.25">
      <c r="E338" s="33"/>
      <c r="F338" s="33"/>
      <c r="G338" s="33"/>
      <c r="H338" s="33"/>
    </row>
    <row r="339" spans="5:8" x14ac:dyDescent="0.25">
      <c r="E339" s="33"/>
      <c r="F339" s="33"/>
      <c r="G339" s="33"/>
      <c r="H339" s="33"/>
    </row>
    <row r="340" spans="5:8" x14ac:dyDescent="0.25">
      <c r="E340" s="33"/>
      <c r="F340" s="33"/>
      <c r="G340" s="33"/>
      <c r="H340" s="33"/>
    </row>
    <row r="341" spans="5:8" x14ac:dyDescent="0.25">
      <c r="E341" s="33"/>
      <c r="F341" s="33"/>
      <c r="G341" s="33"/>
      <c r="H341" s="33"/>
    </row>
    <row r="342" spans="5:8" x14ac:dyDescent="0.25">
      <c r="E342" s="33"/>
      <c r="F342" s="33"/>
      <c r="G342" s="33"/>
      <c r="H342" s="33"/>
    </row>
    <row r="343" spans="5:8" x14ac:dyDescent="0.25">
      <c r="E343" s="33"/>
      <c r="F343" s="33"/>
      <c r="G343" s="33"/>
      <c r="H343" s="33"/>
    </row>
    <row r="344" spans="5:8" x14ac:dyDescent="0.25">
      <c r="E344" s="33"/>
      <c r="F344" s="33"/>
      <c r="G344" s="33"/>
      <c r="H344" s="33"/>
    </row>
    <row r="345" spans="5:8" x14ac:dyDescent="0.25">
      <c r="E345" s="33"/>
      <c r="F345" s="33"/>
      <c r="G345" s="33"/>
      <c r="H345" s="33"/>
    </row>
    <row r="346" spans="5:8" x14ac:dyDescent="0.25">
      <c r="E346" s="33"/>
      <c r="F346" s="33"/>
      <c r="G346" s="33"/>
      <c r="H346" s="33"/>
    </row>
    <row r="347" spans="5:8" x14ac:dyDescent="0.25">
      <c r="E347" s="33"/>
      <c r="F347" s="33"/>
      <c r="G347" s="33"/>
      <c r="H347" s="33"/>
    </row>
    <row r="348" spans="5:8" x14ac:dyDescent="0.25">
      <c r="E348" s="33"/>
      <c r="F348" s="33"/>
      <c r="G348" s="33"/>
      <c r="H348" s="33"/>
    </row>
    <row r="349" spans="5:8" x14ac:dyDescent="0.25">
      <c r="E349" s="33"/>
      <c r="F349" s="33"/>
      <c r="G349" s="33"/>
      <c r="H349" s="33"/>
    </row>
    <row r="350" spans="5:8" x14ac:dyDescent="0.25">
      <c r="E350" s="33"/>
      <c r="F350" s="33"/>
      <c r="G350" s="33"/>
      <c r="H350" s="33"/>
    </row>
    <row r="351" spans="5:8" x14ac:dyDescent="0.25">
      <c r="E351" s="33"/>
      <c r="F351" s="33"/>
      <c r="G351" s="33"/>
      <c r="H351" s="33"/>
    </row>
    <row r="352" spans="5:8" x14ac:dyDescent="0.25">
      <c r="E352" s="33"/>
      <c r="F352" s="33"/>
      <c r="G352" s="33"/>
      <c r="H352" s="33"/>
    </row>
    <row r="353" spans="5:8" x14ac:dyDescent="0.25">
      <c r="E353" s="33"/>
      <c r="F353" s="33"/>
      <c r="G353" s="33"/>
      <c r="H353" s="33"/>
    </row>
    <row r="354" spans="5:8" x14ac:dyDescent="0.25">
      <c r="E354" s="33"/>
      <c r="F354" s="33"/>
      <c r="G354" s="33"/>
      <c r="H354" s="33"/>
    </row>
    <row r="355" spans="5:8" x14ac:dyDescent="0.25">
      <c r="E355" s="33"/>
      <c r="F355" s="33"/>
      <c r="G355" s="33"/>
      <c r="H355" s="33"/>
    </row>
    <row r="356" spans="5:8" x14ac:dyDescent="0.25">
      <c r="E356" s="33"/>
      <c r="F356" s="33"/>
      <c r="G356" s="33"/>
      <c r="H356" s="33"/>
    </row>
    <row r="357" spans="5:8" x14ac:dyDescent="0.25">
      <c r="E357" s="33"/>
      <c r="F357" s="33"/>
      <c r="G357" s="33"/>
      <c r="H357" s="33"/>
    </row>
    <row r="358" spans="5:8" x14ac:dyDescent="0.25">
      <c r="E358" s="33"/>
      <c r="F358" s="33"/>
      <c r="G358" s="33"/>
      <c r="H358" s="33"/>
    </row>
    <row r="359" spans="5:8" x14ac:dyDescent="0.25">
      <c r="E359" s="33"/>
      <c r="F359" s="33"/>
      <c r="G359" s="33"/>
      <c r="H359" s="33"/>
    </row>
    <row r="360" spans="5:8" x14ac:dyDescent="0.25">
      <c r="E360" s="33"/>
      <c r="F360" s="33"/>
      <c r="G360" s="33"/>
      <c r="H360" s="33"/>
    </row>
    <row r="361" spans="5:8" x14ac:dyDescent="0.25">
      <c r="E361" s="33"/>
      <c r="F361" s="33"/>
      <c r="G361" s="33"/>
      <c r="H361" s="33"/>
    </row>
    <row r="362" spans="5:8" x14ac:dyDescent="0.25">
      <c r="E362" s="33"/>
      <c r="F362" s="33"/>
      <c r="G362" s="33"/>
      <c r="H362" s="33"/>
    </row>
    <row r="363" spans="5:8" x14ac:dyDescent="0.25">
      <c r="E363" s="33"/>
      <c r="F363" s="33"/>
      <c r="G363" s="33"/>
      <c r="H363" s="33"/>
    </row>
    <row r="364" spans="5:8" x14ac:dyDescent="0.25">
      <c r="E364" s="33"/>
      <c r="F364" s="33"/>
      <c r="G364" s="33"/>
      <c r="H364" s="33"/>
    </row>
    <row r="365" spans="5:8" x14ac:dyDescent="0.25">
      <c r="E365" s="33"/>
      <c r="F365" s="33"/>
      <c r="G365" s="33"/>
      <c r="H365" s="33"/>
    </row>
    <row r="366" spans="5:8" x14ac:dyDescent="0.25">
      <c r="E366" s="33"/>
      <c r="F366" s="33"/>
      <c r="G366" s="33"/>
      <c r="H366" s="33"/>
    </row>
    <row r="367" spans="5:8" x14ac:dyDescent="0.25">
      <c r="E367" s="33"/>
      <c r="F367" s="33"/>
      <c r="G367" s="33"/>
      <c r="H367" s="33"/>
    </row>
    <row r="368" spans="5:8" x14ac:dyDescent="0.25">
      <c r="E368" s="33"/>
      <c r="F368" s="33"/>
      <c r="G368" s="33"/>
      <c r="H368" s="33"/>
    </row>
    <row r="369" spans="5:8" x14ac:dyDescent="0.25">
      <c r="E369" s="33"/>
      <c r="F369" s="33"/>
      <c r="G369" s="33"/>
      <c r="H369" s="33"/>
    </row>
    <row r="370" spans="5:8" x14ac:dyDescent="0.25">
      <c r="E370" s="33"/>
      <c r="F370" s="33"/>
      <c r="G370" s="33"/>
      <c r="H370" s="33"/>
    </row>
    <row r="371" spans="5:8" x14ac:dyDescent="0.25">
      <c r="E371" s="33"/>
      <c r="F371" s="33"/>
      <c r="G371" s="33"/>
      <c r="H371" s="33"/>
    </row>
    <row r="372" spans="5:8" x14ac:dyDescent="0.25">
      <c r="E372" s="33"/>
      <c r="F372" s="33"/>
      <c r="G372" s="33"/>
      <c r="H372" s="33"/>
    </row>
    <row r="373" spans="5:8" x14ac:dyDescent="0.25">
      <c r="E373" s="33"/>
      <c r="F373" s="33"/>
      <c r="G373" s="33"/>
      <c r="H373" s="33"/>
    </row>
    <row r="374" spans="5:8" x14ac:dyDescent="0.25">
      <c r="E374" s="33"/>
      <c r="F374" s="33"/>
      <c r="G374" s="33"/>
      <c r="H374" s="33"/>
    </row>
    <row r="375" spans="5:8" x14ac:dyDescent="0.25">
      <c r="E375" s="33"/>
      <c r="F375" s="33"/>
      <c r="G375" s="33"/>
      <c r="H375" s="33"/>
    </row>
    <row r="376" spans="5:8" x14ac:dyDescent="0.25">
      <c r="E376" s="33"/>
      <c r="F376" s="33"/>
      <c r="G376" s="33"/>
      <c r="H376" s="33"/>
    </row>
    <row r="377" spans="5:8" x14ac:dyDescent="0.25">
      <c r="E377" s="33"/>
      <c r="F377" s="33"/>
      <c r="G377" s="33"/>
      <c r="H377" s="33"/>
    </row>
    <row r="378" spans="5:8" x14ac:dyDescent="0.25">
      <c r="E378" s="33"/>
      <c r="F378" s="33"/>
      <c r="G378" s="33"/>
      <c r="H378" s="33"/>
    </row>
    <row r="379" spans="5:8" x14ac:dyDescent="0.25">
      <c r="E379" s="33"/>
      <c r="F379" s="33"/>
      <c r="G379" s="33"/>
      <c r="H379" s="33"/>
    </row>
    <row r="380" spans="5:8" x14ac:dyDescent="0.25">
      <c r="E380" s="33"/>
      <c r="F380" s="33"/>
      <c r="G380" s="33"/>
      <c r="H380" s="33"/>
    </row>
    <row r="381" spans="5:8" x14ac:dyDescent="0.25">
      <c r="E381" s="33"/>
      <c r="F381" s="33"/>
      <c r="G381" s="33"/>
      <c r="H381" s="33"/>
    </row>
    <row r="382" spans="5:8" x14ac:dyDescent="0.25">
      <c r="E382" s="33"/>
      <c r="F382" s="33"/>
      <c r="G382" s="33"/>
      <c r="H382" s="33"/>
    </row>
    <row r="383" spans="5:8" x14ac:dyDescent="0.25">
      <c r="E383" s="33"/>
      <c r="F383" s="33"/>
      <c r="G383" s="33"/>
      <c r="H383" s="33"/>
    </row>
    <row r="384" spans="5:8" x14ac:dyDescent="0.25">
      <c r="E384" s="33"/>
      <c r="F384" s="33"/>
      <c r="G384" s="33"/>
      <c r="H384" s="33"/>
    </row>
    <row r="385" spans="5:8" x14ac:dyDescent="0.25">
      <c r="E385" s="33"/>
      <c r="F385" s="33"/>
      <c r="G385" s="33"/>
      <c r="H385" s="33"/>
    </row>
    <row r="386" spans="5:8" x14ac:dyDescent="0.25">
      <c r="E386" s="33"/>
      <c r="F386" s="33"/>
      <c r="G386" s="33"/>
      <c r="H386" s="33"/>
    </row>
    <row r="387" spans="5:8" x14ac:dyDescent="0.25">
      <c r="E387" s="33"/>
      <c r="F387" s="33"/>
      <c r="G387" s="33"/>
      <c r="H387" s="33"/>
    </row>
    <row r="388" spans="5:8" x14ac:dyDescent="0.25">
      <c r="E388" s="33"/>
      <c r="F388" s="33"/>
      <c r="G388" s="33"/>
      <c r="H388" s="33"/>
    </row>
    <row r="389" spans="5:8" x14ac:dyDescent="0.25">
      <c r="E389" s="33"/>
      <c r="F389" s="33"/>
      <c r="G389" s="33"/>
      <c r="H389" s="33"/>
    </row>
    <row r="390" spans="5:8" x14ac:dyDescent="0.25">
      <c r="E390" s="33"/>
      <c r="F390" s="33"/>
      <c r="G390" s="33"/>
      <c r="H390" s="33"/>
    </row>
    <row r="391" spans="5:8" x14ac:dyDescent="0.25">
      <c r="E391" s="33"/>
      <c r="F391" s="33"/>
      <c r="G391" s="33"/>
      <c r="H391" s="33"/>
    </row>
    <row r="392" spans="5:8" x14ac:dyDescent="0.25">
      <c r="E392" s="33"/>
      <c r="F392" s="33"/>
      <c r="G392" s="33"/>
      <c r="H392" s="33"/>
    </row>
    <row r="393" spans="5:8" x14ac:dyDescent="0.25">
      <c r="E393" s="33"/>
      <c r="F393" s="33"/>
      <c r="G393" s="33"/>
      <c r="H393" s="33"/>
    </row>
    <row r="394" spans="5:8" x14ac:dyDescent="0.25">
      <c r="E394" s="33"/>
      <c r="F394" s="33"/>
      <c r="G394" s="33"/>
      <c r="H394" s="33"/>
    </row>
    <row r="395" spans="5:8" x14ac:dyDescent="0.25">
      <c r="E395" s="33"/>
      <c r="F395" s="33"/>
      <c r="G395" s="33"/>
      <c r="H395" s="33"/>
    </row>
    <row r="396" spans="5:8" x14ac:dyDescent="0.25">
      <c r="E396" s="33"/>
      <c r="F396" s="33"/>
      <c r="G396" s="33"/>
      <c r="H396" s="33"/>
    </row>
    <row r="397" spans="5:8" x14ac:dyDescent="0.25">
      <c r="E397" s="33"/>
      <c r="F397" s="33"/>
      <c r="G397" s="33"/>
      <c r="H397" s="33"/>
    </row>
    <row r="398" spans="5:8" x14ac:dyDescent="0.25">
      <c r="E398" s="33"/>
      <c r="F398" s="33"/>
      <c r="G398" s="33"/>
      <c r="H398" s="33"/>
    </row>
    <row r="399" spans="5:8" x14ac:dyDescent="0.25">
      <c r="E399" s="33"/>
      <c r="F399" s="33"/>
      <c r="G399" s="33"/>
      <c r="H399" s="33"/>
    </row>
    <row r="400" spans="5:8" x14ac:dyDescent="0.25">
      <c r="E400" s="33"/>
      <c r="F400" s="33"/>
      <c r="G400" s="33"/>
      <c r="H400" s="33"/>
    </row>
    <row r="401" spans="5:8" x14ac:dyDescent="0.25">
      <c r="E401" s="33"/>
      <c r="F401" s="33"/>
      <c r="G401" s="33"/>
      <c r="H401" s="33"/>
    </row>
    <row r="402" spans="5:8" x14ac:dyDescent="0.25">
      <c r="E402" s="33"/>
      <c r="F402" s="33"/>
      <c r="G402" s="33"/>
      <c r="H402" s="33"/>
    </row>
    <row r="403" spans="5:8" x14ac:dyDescent="0.25">
      <c r="E403" s="33"/>
      <c r="F403" s="33"/>
      <c r="G403" s="33"/>
      <c r="H403" s="33"/>
    </row>
    <row r="404" spans="5:8" x14ac:dyDescent="0.25">
      <c r="E404" s="33"/>
      <c r="F404" s="33"/>
      <c r="G404" s="33"/>
      <c r="H404" s="33"/>
    </row>
    <row r="405" spans="5:8" x14ac:dyDescent="0.25">
      <c r="E405" s="33"/>
      <c r="F405" s="33"/>
      <c r="G405" s="33"/>
      <c r="H405" s="33"/>
    </row>
    <row r="406" spans="5:8" x14ac:dyDescent="0.25">
      <c r="E406" s="33"/>
      <c r="F406" s="33"/>
      <c r="G406" s="33"/>
      <c r="H406" s="33"/>
    </row>
    <row r="407" spans="5:8" x14ac:dyDescent="0.25">
      <c r="E407" s="33"/>
      <c r="F407" s="33"/>
      <c r="G407" s="33"/>
      <c r="H407" s="33"/>
    </row>
    <row r="408" spans="5:8" x14ac:dyDescent="0.25">
      <c r="E408" s="33"/>
      <c r="F408" s="33"/>
      <c r="G408" s="33"/>
      <c r="H408" s="33"/>
    </row>
    <row r="409" spans="5:8" x14ac:dyDescent="0.25">
      <c r="E409" s="33"/>
      <c r="F409" s="33"/>
      <c r="G409" s="33"/>
      <c r="H409" s="33"/>
    </row>
    <row r="410" spans="5:8" x14ac:dyDescent="0.25">
      <c r="E410" s="33"/>
      <c r="F410" s="33"/>
      <c r="G410" s="33"/>
      <c r="H410" s="33"/>
    </row>
    <row r="411" spans="5:8" x14ac:dyDescent="0.25">
      <c r="E411" s="33"/>
      <c r="F411" s="33"/>
      <c r="G411" s="33"/>
      <c r="H411" s="33"/>
    </row>
    <row r="412" spans="5:8" x14ac:dyDescent="0.25">
      <c r="E412" s="33"/>
      <c r="F412" s="33"/>
      <c r="G412" s="33"/>
      <c r="H412" s="33"/>
    </row>
    <row r="413" spans="5:8" x14ac:dyDescent="0.25">
      <c r="E413" s="33"/>
      <c r="F413" s="33"/>
      <c r="G413" s="33"/>
      <c r="H413" s="33"/>
    </row>
    <row r="414" spans="5:8" x14ac:dyDescent="0.25">
      <c r="E414" s="33"/>
      <c r="F414" s="33"/>
      <c r="G414" s="33"/>
      <c r="H414" s="33"/>
    </row>
    <row r="415" spans="5:8" x14ac:dyDescent="0.25">
      <c r="E415" s="33"/>
      <c r="F415" s="33"/>
      <c r="G415" s="33"/>
      <c r="H415" s="33"/>
    </row>
    <row r="416" spans="5:8" x14ac:dyDescent="0.25">
      <c r="E416" s="33"/>
      <c r="F416" s="33"/>
      <c r="G416" s="33"/>
      <c r="H416" s="33"/>
    </row>
    <row r="417" spans="5:8" x14ac:dyDescent="0.25">
      <c r="E417" s="33"/>
      <c r="F417" s="33"/>
      <c r="G417" s="33"/>
      <c r="H417" s="33"/>
    </row>
    <row r="418" spans="5:8" x14ac:dyDescent="0.25">
      <c r="E418" s="33"/>
      <c r="F418" s="33"/>
      <c r="G418" s="33"/>
      <c r="H418" s="33"/>
    </row>
    <row r="419" spans="5:8" x14ac:dyDescent="0.25">
      <c r="E419" s="33"/>
      <c r="F419" s="33"/>
      <c r="G419" s="33"/>
      <c r="H419" s="33"/>
    </row>
    <row r="420" spans="5:8" x14ac:dyDescent="0.25">
      <c r="E420" s="33"/>
      <c r="F420" s="33"/>
      <c r="G420" s="33"/>
      <c r="H420" s="33"/>
    </row>
    <row r="421" spans="5:8" x14ac:dyDescent="0.25">
      <c r="E421" s="33"/>
      <c r="F421" s="33"/>
      <c r="G421" s="33"/>
      <c r="H421" s="33"/>
    </row>
    <row r="422" spans="5:8" x14ac:dyDescent="0.25">
      <c r="E422" s="33"/>
      <c r="F422" s="33"/>
      <c r="G422" s="33"/>
      <c r="H422" s="33"/>
    </row>
    <row r="423" spans="5:8" x14ac:dyDescent="0.25">
      <c r="E423" s="33"/>
      <c r="F423" s="33"/>
      <c r="G423" s="33"/>
      <c r="H423" s="33"/>
    </row>
    <row r="424" spans="5:8" x14ac:dyDescent="0.25">
      <c r="E424" s="33"/>
      <c r="F424" s="33"/>
      <c r="G424" s="33"/>
      <c r="H424" s="33"/>
    </row>
    <row r="425" spans="5:8" x14ac:dyDescent="0.25">
      <c r="E425" s="33"/>
      <c r="F425" s="33"/>
      <c r="G425" s="33"/>
      <c r="H425" s="33"/>
    </row>
    <row r="426" spans="5:8" x14ac:dyDescent="0.25">
      <c r="E426" s="33"/>
      <c r="F426" s="33"/>
      <c r="G426" s="33"/>
      <c r="H426" s="33"/>
    </row>
    <row r="427" spans="5:8" x14ac:dyDescent="0.25">
      <c r="E427" s="33"/>
      <c r="F427" s="33"/>
      <c r="G427" s="33"/>
      <c r="H427" s="33"/>
    </row>
    <row r="428" spans="5:8" x14ac:dyDescent="0.25">
      <c r="E428" s="33"/>
      <c r="F428" s="33"/>
      <c r="G428" s="33"/>
      <c r="H428" s="33"/>
    </row>
    <row r="429" spans="5:8" x14ac:dyDescent="0.25">
      <c r="E429" s="33"/>
      <c r="F429" s="33"/>
      <c r="G429" s="33"/>
      <c r="H429" s="33"/>
    </row>
    <row r="430" spans="5:8" x14ac:dyDescent="0.25">
      <c r="E430" s="33"/>
      <c r="F430" s="33"/>
      <c r="G430" s="33"/>
      <c r="H430" s="33"/>
    </row>
    <row r="431" spans="5:8" x14ac:dyDescent="0.25">
      <c r="E431" s="33"/>
      <c r="F431" s="33"/>
      <c r="G431" s="33"/>
      <c r="H431" s="33"/>
    </row>
    <row r="432" spans="5:8" x14ac:dyDescent="0.25">
      <c r="E432" s="33"/>
      <c r="F432" s="33"/>
      <c r="G432" s="33"/>
      <c r="H432" s="33"/>
    </row>
    <row r="433" spans="5:8" x14ac:dyDescent="0.25">
      <c r="E433" s="33"/>
      <c r="F433" s="33"/>
      <c r="G433" s="33"/>
      <c r="H433" s="33"/>
    </row>
    <row r="434" spans="5:8" x14ac:dyDescent="0.25">
      <c r="E434" s="33"/>
      <c r="F434" s="33"/>
      <c r="G434" s="33"/>
      <c r="H434" s="33"/>
    </row>
    <row r="435" spans="5:8" x14ac:dyDescent="0.25">
      <c r="E435" s="33"/>
      <c r="F435" s="33"/>
      <c r="G435" s="33"/>
      <c r="H435" s="33"/>
    </row>
    <row r="436" spans="5:8" x14ac:dyDescent="0.25">
      <c r="E436" s="33"/>
      <c r="F436" s="33"/>
      <c r="G436" s="33"/>
      <c r="H436" s="33"/>
    </row>
    <row r="437" spans="5:8" x14ac:dyDescent="0.25">
      <c r="E437" s="33"/>
      <c r="F437" s="33"/>
      <c r="G437" s="33"/>
      <c r="H437" s="33"/>
    </row>
    <row r="438" spans="5:8" x14ac:dyDescent="0.25">
      <c r="E438" s="33"/>
      <c r="F438" s="33"/>
      <c r="G438" s="33"/>
      <c r="H438" s="33"/>
    </row>
    <row r="439" spans="5:8" x14ac:dyDescent="0.25">
      <c r="E439" s="33"/>
      <c r="F439" s="33"/>
      <c r="G439" s="33"/>
      <c r="H439" s="33"/>
    </row>
    <row r="440" spans="5:8" x14ac:dyDescent="0.25">
      <c r="E440" s="33"/>
      <c r="F440" s="33"/>
      <c r="G440" s="33"/>
      <c r="H440" s="33"/>
    </row>
    <row r="441" spans="5:8" x14ac:dyDescent="0.25">
      <c r="E441" s="33"/>
      <c r="F441" s="33"/>
      <c r="G441" s="33"/>
      <c r="H441" s="33"/>
    </row>
    <row r="442" spans="5:8" x14ac:dyDescent="0.25">
      <c r="E442" s="33"/>
      <c r="F442" s="33"/>
      <c r="G442" s="33"/>
      <c r="H442" s="33"/>
    </row>
    <row r="443" spans="5:8" x14ac:dyDescent="0.25">
      <c r="E443" s="33"/>
      <c r="F443" s="33"/>
      <c r="G443" s="33"/>
      <c r="H443" s="33"/>
    </row>
    <row r="444" spans="5:8" x14ac:dyDescent="0.25">
      <c r="E444" s="33"/>
      <c r="F444" s="33"/>
      <c r="G444" s="33"/>
      <c r="H444" s="33"/>
    </row>
    <row r="445" spans="5:8" x14ac:dyDescent="0.25">
      <c r="E445" s="33"/>
      <c r="F445" s="33"/>
      <c r="G445" s="33"/>
      <c r="H445" s="33"/>
    </row>
    <row r="446" spans="5:8" x14ac:dyDescent="0.25">
      <c r="E446" s="33"/>
      <c r="F446" s="33"/>
      <c r="G446" s="33"/>
      <c r="H446" s="33"/>
    </row>
    <row r="447" spans="5:8" x14ac:dyDescent="0.25">
      <c r="E447" s="33"/>
      <c r="F447" s="33"/>
      <c r="G447" s="33"/>
      <c r="H447" s="33"/>
    </row>
    <row r="448" spans="5:8" x14ac:dyDescent="0.25">
      <c r="E448" s="33"/>
      <c r="F448" s="33"/>
      <c r="G448" s="33"/>
      <c r="H448" s="33"/>
    </row>
    <row r="449" spans="5:8" x14ac:dyDescent="0.25">
      <c r="E449" s="33"/>
      <c r="F449" s="33"/>
      <c r="G449" s="33"/>
      <c r="H449" s="33"/>
    </row>
    <row r="450" spans="5:8" x14ac:dyDescent="0.25">
      <c r="E450" s="33"/>
      <c r="F450" s="33"/>
      <c r="G450" s="33"/>
      <c r="H450" s="33"/>
    </row>
    <row r="451" spans="5:8" x14ac:dyDescent="0.25">
      <c r="E451" s="33"/>
      <c r="F451" s="33"/>
      <c r="G451" s="33"/>
      <c r="H451" s="33"/>
    </row>
    <row r="452" spans="5:8" x14ac:dyDescent="0.25">
      <c r="E452" s="33"/>
      <c r="F452" s="33"/>
      <c r="G452" s="33"/>
      <c r="H452" s="33"/>
    </row>
    <row r="453" spans="5:8" x14ac:dyDescent="0.25">
      <c r="E453" s="33"/>
      <c r="F453" s="33"/>
      <c r="G453" s="33"/>
      <c r="H453" s="33"/>
    </row>
    <row r="454" spans="5:8" x14ac:dyDescent="0.25">
      <c r="E454" s="33"/>
      <c r="F454" s="33"/>
      <c r="G454" s="33"/>
      <c r="H454" s="33"/>
    </row>
    <row r="455" spans="5:8" x14ac:dyDescent="0.25">
      <c r="E455" s="33"/>
      <c r="F455" s="33"/>
      <c r="G455" s="33"/>
      <c r="H455" s="33"/>
    </row>
    <row r="456" spans="5:8" x14ac:dyDescent="0.25">
      <c r="E456" s="33"/>
      <c r="F456" s="33"/>
      <c r="G456" s="33"/>
      <c r="H456" s="33"/>
    </row>
    <row r="457" spans="5:8" x14ac:dyDescent="0.25">
      <c r="E457" s="33"/>
      <c r="F457" s="33"/>
      <c r="G457" s="33"/>
      <c r="H457" s="33"/>
    </row>
    <row r="458" spans="5:8" x14ac:dyDescent="0.25">
      <c r="E458" s="33"/>
      <c r="F458" s="33"/>
      <c r="G458" s="33"/>
      <c r="H458" s="33"/>
    </row>
    <row r="459" spans="5:8" x14ac:dyDescent="0.25">
      <c r="E459" s="33"/>
      <c r="F459" s="33"/>
      <c r="G459" s="33"/>
      <c r="H459" s="33"/>
    </row>
    <row r="460" spans="5:8" x14ac:dyDescent="0.25">
      <c r="E460" s="33"/>
      <c r="F460" s="33"/>
      <c r="G460" s="33"/>
      <c r="H460" s="33"/>
    </row>
    <row r="461" spans="5:8" x14ac:dyDescent="0.25">
      <c r="E461" s="33"/>
      <c r="F461" s="33"/>
      <c r="G461" s="33"/>
      <c r="H461" s="33"/>
    </row>
    <row r="462" spans="5:8" x14ac:dyDescent="0.25">
      <c r="E462" s="33"/>
      <c r="F462" s="33"/>
      <c r="G462" s="33"/>
      <c r="H462" s="33"/>
    </row>
    <row r="463" spans="5:8" x14ac:dyDescent="0.25">
      <c r="E463" s="33"/>
      <c r="F463" s="33"/>
      <c r="G463" s="33"/>
      <c r="H463" s="33"/>
    </row>
    <row r="464" spans="5:8" x14ac:dyDescent="0.25">
      <c r="E464" s="33"/>
      <c r="F464" s="33"/>
      <c r="G464" s="33"/>
      <c r="H464" s="33"/>
    </row>
    <row r="465" spans="5:8" x14ac:dyDescent="0.25">
      <c r="E465" s="33"/>
      <c r="F465" s="33"/>
      <c r="G465" s="33"/>
      <c r="H465" s="33"/>
    </row>
    <row r="466" spans="5:8" x14ac:dyDescent="0.25">
      <c r="E466" s="33"/>
      <c r="F466" s="33"/>
      <c r="G466" s="33"/>
      <c r="H466" s="33"/>
    </row>
    <row r="467" spans="5:8" x14ac:dyDescent="0.25">
      <c r="E467" s="33"/>
      <c r="F467" s="33"/>
      <c r="G467" s="33"/>
      <c r="H467" s="33"/>
    </row>
    <row r="468" spans="5:8" x14ac:dyDescent="0.25">
      <c r="E468" s="33"/>
      <c r="F468" s="33"/>
      <c r="G468" s="33"/>
      <c r="H468" s="33"/>
    </row>
    <row r="469" spans="5:8" x14ac:dyDescent="0.25">
      <c r="E469" s="33"/>
      <c r="F469" s="33"/>
      <c r="G469" s="33"/>
      <c r="H469" s="33"/>
    </row>
    <row r="470" spans="5:8" x14ac:dyDescent="0.25">
      <c r="E470" s="33"/>
      <c r="F470" s="33"/>
      <c r="G470" s="33"/>
      <c r="H470" s="33"/>
    </row>
    <row r="471" spans="5:8" x14ac:dyDescent="0.25">
      <c r="E471" s="33"/>
      <c r="F471" s="33"/>
      <c r="G471" s="33"/>
      <c r="H471" s="33"/>
    </row>
    <row r="472" spans="5:8" x14ac:dyDescent="0.25">
      <c r="E472" s="33"/>
      <c r="F472" s="33"/>
      <c r="G472" s="33"/>
      <c r="H472" s="33"/>
    </row>
    <row r="473" spans="5:8" x14ac:dyDescent="0.25">
      <c r="E473" s="33"/>
      <c r="F473" s="33"/>
      <c r="G473" s="33"/>
      <c r="H473" s="33"/>
    </row>
    <row r="474" spans="5:8" x14ac:dyDescent="0.25">
      <c r="E474" s="33"/>
      <c r="F474" s="33"/>
      <c r="G474" s="33"/>
      <c r="H474" s="33"/>
    </row>
    <row r="475" spans="5:8" x14ac:dyDescent="0.25">
      <c r="E475" s="33"/>
      <c r="F475" s="33"/>
      <c r="G475" s="33"/>
      <c r="H475" s="33"/>
    </row>
    <row r="476" spans="5:8" x14ac:dyDescent="0.25">
      <c r="E476" s="33"/>
      <c r="F476" s="33"/>
      <c r="G476" s="33"/>
      <c r="H476" s="33"/>
    </row>
    <row r="477" spans="5:8" x14ac:dyDescent="0.25">
      <c r="E477" s="33"/>
      <c r="F477" s="33"/>
      <c r="G477" s="33"/>
      <c r="H477" s="33"/>
    </row>
    <row r="478" spans="5:8" x14ac:dyDescent="0.25">
      <c r="E478" s="33"/>
      <c r="F478" s="33"/>
      <c r="G478" s="33"/>
      <c r="H478" s="33"/>
    </row>
    <row r="479" spans="5:8" x14ac:dyDescent="0.25">
      <c r="E479" s="33"/>
      <c r="F479" s="33"/>
      <c r="G479" s="33"/>
      <c r="H479" s="33"/>
    </row>
    <row r="480" spans="5:8" x14ac:dyDescent="0.25">
      <c r="E480" s="33"/>
      <c r="F480" s="33"/>
      <c r="G480" s="33"/>
      <c r="H480" s="33"/>
    </row>
    <row r="481" spans="5:8" x14ac:dyDescent="0.25">
      <c r="E481" s="33"/>
      <c r="F481" s="33"/>
      <c r="G481" s="33"/>
      <c r="H481" s="33"/>
    </row>
    <row r="482" spans="5:8" x14ac:dyDescent="0.25">
      <c r="E482" s="33"/>
      <c r="F482" s="33"/>
      <c r="G482" s="33"/>
      <c r="H482" s="33"/>
    </row>
    <row r="483" spans="5:8" x14ac:dyDescent="0.25">
      <c r="E483" s="33"/>
      <c r="F483" s="33"/>
      <c r="G483" s="33"/>
      <c r="H483" s="33"/>
    </row>
    <row r="484" spans="5:8" x14ac:dyDescent="0.25">
      <c r="E484" s="33"/>
      <c r="F484" s="33"/>
      <c r="G484" s="33"/>
      <c r="H484" s="33"/>
    </row>
    <row r="485" spans="5:8" x14ac:dyDescent="0.25">
      <c r="E485" s="33"/>
      <c r="F485" s="33"/>
      <c r="G485" s="33"/>
      <c r="H485" s="33"/>
    </row>
    <row r="486" spans="5:8" x14ac:dyDescent="0.25">
      <c r="E486" s="33"/>
      <c r="F486" s="33"/>
      <c r="G486" s="33"/>
      <c r="H486" s="33"/>
    </row>
    <row r="487" spans="5:8" x14ac:dyDescent="0.25">
      <c r="E487" s="33"/>
      <c r="F487" s="33"/>
      <c r="G487" s="33"/>
      <c r="H487" s="33"/>
    </row>
    <row r="488" spans="5:8" x14ac:dyDescent="0.25">
      <c r="E488" s="33"/>
      <c r="F488" s="33"/>
      <c r="G488" s="33"/>
      <c r="H488" s="33"/>
    </row>
    <row r="489" spans="5:8" x14ac:dyDescent="0.25">
      <c r="E489" s="33"/>
      <c r="F489" s="33"/>
      <c r="G489" s="33"/>
      <c r="H489" s="33"/>
    </row>
    <row r="490" spans="5:8" x14ac:dyDescent="0.25">
      <c r="E490" s="33"/>
      <c r="F490" s="33"/>
      <c r="G490" s="33"/>
      <c r="H490" s="33"/>
    </row>
    <row r="491" spans="5:8" x14ac:dyDescent="0.25">
      <c r="E491" s="33"/>
      <c r="F491" s="33"/>
      <c r="G491" s="33"/>
      <c r="H491" s="33"/>
    </row>
    <row r="492" spans="5:8" x14ac:dyDescent="0.25">
      <c r="E492" s="33"/>
      <c r="F492" s="33"/>
      <c r="G492" s="33"/>
      <c r="H492" s="33"/>
    </row>
    <row r="493" spans="5:8" x14ac:dyDescent="0.25">
      <c r="E493" s="33"/>
      <c r="F493" s="33"/>
      <c r="G493" s="33"/>
      <c r="H493" s="33"/>
    </row>
    <row r="494" spans="5:8" x14ac:dyDescent="0.25">
      <c r="E494" s="33"/>
      <c r="F494" s="33"/>
      <c r="G494" s="33"/>
      <c r="H494" s="33"/>
    </row>
    <row r="495" spans="5:8" x14ac:dyDescent="0.25">
      <c r="E495" s="33"/>
      <c r="F495" s="33"/>
      <c r="G495" s="33"/>
      <c r="H495" s="33"/>
    </row>
    <row r="496" spans="5:8" x14ac:dyDescent="0.25">
      <c r="E496" s="33"/>
      <c r="F496" s="33"/>
      <c r="G496" s="33"/>
      <c r="H496" s="33"/>
    </row>
    <row r="497" spans="5:8" x14ac:dyDescent="0.25">
      <c r="E497" s="33"/>
      <c r="F497" s="33"/>
      <c r="G497" s="33"/>
      <c r="H497" s="33"/>
    </row>
    <row r="498" spans="5:8" x14ac:dyDescent="0.25">
      <c r="E498" s="33"/>
      <c r="F498" s="33"/>
      <c r="G498" s="33"/>
      <c r="H498" s="33"/>
    </row>
    <row r="499" spans="5:8" x14ac:dyDescent="0.25">
      <c r="E499" s="33"/>
      <c r="F499" s="33"/>
      <c r="G499" s="33"/>
      <c r="H499" s="33"/>
    </row>
    <row r="500" spans="5:8" x14ac:dyDescent="0.25">
      <c r="E500" s="33"/>
      <c r="F500" s="33"/>
      <c r="G500" s="33"/>
      <c r="H500" s="33"/>
    </row>
    <row r="501" spans="5:8" x14ac:dyDescent="0.25">
      <c r="E501" s="33"/>
      <c r="F501" s="33"/>
      <c r="G501" s="33"/>
      <c r="H501" s="33"/>
    </row>
    <row r="502" spans="5:8" x14ac:dyDescent="0.25">
      <c r="E502" s="33"/>
      <c r="F502" s="33"/>
      <c r="G502" s="33"/>
      <c r="H502" s="33"/>
    </row>
    <row r="503" spans="5:8" x14ac:dyDescent="0.25">
      <c r="E503" s="33"/>
      <c r="F503" s="33"/>
      <c r="G503" s="33"/>
      <c r="H503" s="33"/>
    </row>
    <row r="504" spans="5:8" x14ac:dyDescent="0.25">
      <c r="E504" s="33"/>
      <c r="F504" s="33"/>
      <c r="G504" s="33"/>
      <c r="H504" s="33"/>
    </row>
    <row r="505" spans="5:8" x14ac:dyDescent="0.25">
      <c r="E505" s="33"/>
      <c r="F505" s="33"/>
      <c r="G505" s="33"/>
      <c r="H505" s="33"/>
    </row>
    <row r="506" spans="5:8" x14ac:dyDescent="0.25">
      <c r="E506" s="33"/>
      <c r="F506" s="33"/>
      <c r="G506" s="33"/>
      <c r="H506" s="33"/>
    </row>
    <row r="507" spans="5:8" x14ac:dyDescent="0.25">
      <c r="E507" s="33"/>
      <c r="F507" s="33"/>
      <c r="G507" s="33"/>
      <c r="H507" s="33"/>
    </row>
    <row r="508" spans="5:8" x14ac:dyDescent="0.25">
      <c r="E508" s="33"/>
      <c r="F508" s="33"/>
      <c r="G508" s="33"/>
      <c r="H508" s="33"/>
    </row>
    <row r="509" spans="5:8" x14ac:dyDescent="0.25">
      <c r="E509" s="33"/>
      <c r="F509" s="33"/>
      <c r="G509" s="33"/>
      <c r="H509" s="33"/>
    </row>
    <row r="510" spans="5:8" x14ac:dyDescent="0.25">
      <c r="E510" s="33"/>
      <c r="F510" s="33"/>
      <c r="G510" s="33"/>
      <c r="H510" s="33"/>
    </row>
    <row r="511" spans="5:8" x14ac:dyDescent="0.25">
      <c r="E511" s="33"/>
      <c r="F511" s="33"/>
      <c r="G511" s="33"/>
      <c r="H511" s="33"/>
    </row>
    <row r="512" spans="5:8" x14ac:dyDescent="0.25">
      <c r="E512" s="33"/>
      <c r="F512" s="33"/>
      <c r="G512" s="33"/>
      <c r="H512" s="33"/>
    </row>
    <row r="513" spans="5:8" x14ac:dyDescent="0.25">
      <c r="E513" s="33"/>
      <c r="F513" s="33"/>
      <c r="G513" s="33"/>
      <c r="H513" s="33"/>
    </row>
    <row r="514" spans="5:8" x14ac:dyDescent="0.25">
      <c r="E514" s="33"/>
      <c r="F514" s="33"/>
      <c r="G514" s="33"/>
      <c r="H514" s="33"/>
    </row>
    <row r="515" spans="5:8" x14ac:dyDescent="0.25">
      <c r="E515" s="33"/>
      <c r="F515" s="33"/>
      <c r="G515" s="33"/>
      <c r="H515" s="33"/>
    </row>
    <row r="516" spans="5:8" x14ac:dyDescent="0.25">
      <c r="E516" s="33"/>
      <c r="F516" s="33"/>
      <c r="G516" s="33"/>
      <c r="H516" s="33"/>
    </row>
    <row r="517" spans="5:8" x14ac:dyDescent="0.25">
      <c r="E517" s="33"/>
      <c r="F517" s="33"/>
      <c r="G517" s="33"/>
      <c r="H517" s="33"/>
    </row>
    <row r="518" spans="5:8" x14ac:dyDescent="0.25">
      <c r="E518" s="33"/>
      <c r="F518" s="33"/>
      <c r="G518" s="33"/>
      <c r="H518" s="33"/>
    </row>
    <row r="519" spans="5:8" x14ac:dyDescent="0.25">
      <c r="E519" s="33"/>
      <c r="F519" s="33"/>
      <c r="G519" s="33"/>
      <c r="H519" s="33"/>
    </row>
    <row r="520" spans="5:8" x14ac:dyDescent="0.25">
      <c r="E520" s="33"/>
      <c r="F520" s="33"/>
      <c r="G520" s="33"/>
      <c r="H520" s="33"/>
    </row>
    <row r="521" spans="5:8" x14ac:dyDescent="0.25">
      <c r="E521" s="33"/>
      <c r="F521" s="33"/>
      <c r="G521" s="33"/>
      <c r="H521" s="33"/>
    </row>
    <row r="522" spans="5:8" x14ac:dyDescent="0.25">
      <c r="E522" s="33"/>
      <c r="F522" s="33"/>
      <c r="G522" s="33"/>
      <c r="H522" s="33"/>
    </row>
    <row r="523" spans="5:8" x14ac:dyDescent="0.25">
      <c r="E523" s="33"/>
      <c r="F523" s="33"/>
      <c r="G523" s="33"/>
      <c r="H523" s="33"/>
    </row>
    <row r="524" spans="5:8" x14ac:dyDescent="0.25">
      <c r="E524" s="33"/>
      <c r="F524" s="33"/>
      <c r="G524" s="33"/>
      <c r="H524" s="33"/>
    </row>
    <row r="525" spans="5:8" x14ac:dyDescent="0.25">
      <c r="E525" s="33"/>
      <c r="F525" s="33"/>
      <c r="G525" s="33"/>
      <c r="H525" s="33"/>
    </row>
    <row r="526" spans="5:8" x14ac:dyDescent="0.25">
      <c r="E526" s="33"/>
      <c r="F526" s="33"/>
      <c r="G526" s="33"/>
      <c r="H526" s="33"/>
    </row>
    <row r="527" spans="5:8" x14ac:dyDescent="0.25">
      <c r="E527" s="33"/>
      <c r="F527" s="33"/>
      <c r="G527" s="33"/>
      <c r="H527" s="33"/>
    </row>
    <row r="528" spans="5:8" x14ac:dyDescent="0.25">
      <c r="E528" s="33"/>
      <c r="F528" s="33"/>
      <c r="G528" s="33"/>
      <c r="H528" s="33"/>
    </row>
    <row r="529" spans="5:8" x14ac:dyDescent="0.25">
      <c r="E529" s="33"/>
      <c r="F529" s="33"/>
      <c r="G529" s="33"/>
      <c r="H529" s="33"/>
    </row>
    <row r="530" spans="5:8" x14ac:dyDescent="0.25">
      <c r="E530" s="33"/>
      <c r="F530" s="33"/>
      <c r="G530" s="33"/>
      <c r="H530" s="33"/>
    </row>
    <row r="531" spans="5:8" x14ac:dyDescent="0.25">
      <c r="E531" s="33"/>
      <c r="F531" s="33"/>
      <c r="G531" s="33"/>
      <c r="H531" s="33"/>
    </row>
    <row r="532" spans="5:8" x14ac:dyDescent="0.25">
      <c r="E532" s="33"/>
      <c r="F532" s="33"/>
      <c r="G532" s="33"/>
      <c r="H532" s="33"/>
    </row>
    <row r="533" spans="5:8" x14ac:dyDescent="0.25">
      <c r="E533" s="33"/>
      <c r="F533" s="33"/>
      <c r="G533" s="33"/>
      <c r="H533" s="33"/>
    </row>
    <row r="534" spans="5:8" x14ac:dyDescent="0.25">
      <c r="E534" s="33"/>
      <c r="F534" s="33"/>
      <c r="G534" s="33"/>
      <c r="H534" s="33"/>
    </row>
    <row r="535" spans="5:8" x14ac:dyDescent="0.25">
      <c r="E535" s="33"/>
      <c r="F535" s="33"/>
      <c r="G535" s="33"/>
      <c r="H535" s="33"/>
    </row>
    <row r="536" spans="5:8" x14ac:dyDescent="0.25">
      <c r="E536" s="33"/>
      <c r="F536" s="33"/>
      <c r="G536" s="33"/>
      <c r="H536" s="33"/>
    </row>
    <row r="537" spans="5:8" x14ac:dyDescent="0.25">
      <c r="E537" s="33"/>
      <c r="F537" s="33"/>
      <c r="G537" s="33"/>
      <c r="H537" s="33"/>
    </row>
    <row r="538" spans="5:8" x14ac:dyDescent="0.25">
      <c r="E538" s="33"/>
      <c r="F538" s="33"/>
      <c r="G538" s="33"/>
      <c r="H538" s="33"/>
    </row>
    <row r="539" spans="5:8" x14ac:dyDescent="0.25">
      <c r="E539" s="33"/>
      <c r="F539" s="33"/>
      <c r="G539" s="33"/>
      <c r="H539" s="33"/>
    </row>
    <row r="540" spans="5:8" x14ac:dyDescent="0.25">
      <c r="E540" s="33"/>
      <c r="F540" s="33"/>
      <c r="G540" s="33"/>
      <c r="H540" s="33"/>
    </row>
    <row r="541" spans="5:8" x14ac:dyDescent="0.25">
      <c r="E541" s="33"/>
      <c r="F541" s="33"/>
      <c r="G541" s="33"/>
      <c r="H541" s="33"/>
    </row>
    <row r="542" spans="5:8" x14ac:dyDescent="0.25">
      <c r="E542" s="33"/>
      <c r="F542" s="33"/>
      <c r="G542" s="33"/>
      <c r="H542" s="33"/>
    </row>
    <row r="543" spans="5:8" x14ac:dyDescent="0.25">
      <c r="E543" s="33"/>
      <c r="F543" s="33"/>
      <c r="G543" s="33"/>
      <c r="H543" s="33"/>
    </row>
    <row r="544" spans="5:8" x14ac:dyDescent="0.25">
      <c r="E544" s="33"/>
      <c r="F544" s="33"/>
      <c r="G544" s="33"/>
      <c r="H544" s="33"/>
    </row>
    <row r="545" spans="5:8" x14ac:dyDescent="0.25">
      <c r="E545" s="33"/>
      <c r="F545" s="33"/>
      <c r="G545" s="33"/>
      <c r="H545" s="33"/>
    </row>
    <row r="546" spans="5:8" x14ac:dyDescent="0.25">
      <c r="E546" s="33"/>
      <c r="F546" s="33"/>
      <c r="G546" s="33"/>
      <c r="H546" s="33"/>
    </row>
    <row r="547" spans="5:8" x14ac:dyDescent="0.25">
      <c r="E547" s="33"/>
      <c r="F547" s="33"/>
      <c r="G547" s="33"/>
      <c r="H547" s="33"/>
    </row>
    <row r="548" spans="5:8" x14ac:dyDescent="0.25">
      <c r="E548" s="33"/>
      <c r="F548" s="33"/>
      <c r="G548" s="33"/>
      <c r="H548" s="33"/>
    </row>
    <row r="549" spans="5:8" x14ac:dyDescent="0.25">
      <c r="E549" s="33"/>
      <c r="F549" s="33"/>
      <c r="G549" s="33"/>
      <c r="H549" s="33"/>
    </row>
    <row r="550" spans="5:8" x14ac:dyDescent="0.25">
      <c r="E550" s="33"/>
      <c r="F550" s="33"/>
      <c r="G550" s="33"/>
      <c r="H550" s="33"/>
    </row>
    <row r="551" spans="5:8" x14ac:dyDescent="0.25">
      <c r="E551" s="33"/>
      <c r="F551" s="33"/>
      <c r="G551" s="33"/>
      <c r="H551" s="33"/>
    </row>
    <row r="552" spans="5:8" x14ac:dyDescent="0.25">
      <c r="E552" s="33"/>
      <c r="F552" s="33"/>
      <c r="G552" s="33"/>
      <c r="H552" s="33"/>
    </row>
    <row r="553" spans="5:8" x14ac:dyDescent="0.25">
      <c r="E553" s="33"/>
      <c r="F553" s="33"/>
      <c r="G553" s="33"/>
      <c r="H553" s="33"/>
    </row>
    <row r="554" spans="5:8" x14ac:dyDescent="0.25">
      <c r="E554" s="33"/>
      <c r="F554" s="33"/>
      <c r="G554" s="33"/>
      <c r="H554" s="33"/>
    </row>
    <row r="555" spans="5:8" x14ac:dyDescent="0.25">
      <c r="E555" s="33"/>
      <c r="F555" s="33"/>
      <c r="G555" s="33"/>
      <c r="H555" s="33"/>
    </row>
    <row r="556" spans="5:8" x14ac:dyDescent="0.25">
      <c r="E556" s="33"/>
      <c r="F556" s="33"/>
      <c r="G556" s="33"/>
      <c r="H556" s="33"/>
    </row>
    <row r="557" spans="5:8" x14ac:dyDescent="0.25">
      <c r="E557" s="33"/>
      <c r="F557" s="33"/>
      <c r="G557" s="33"/>
      <c r="H557" s="33"/>
    </row>
    <row r="558" spans="5:8" x14ac:dyDescent="0.25">
      <c r="E558" s="33"/>
      <c r="F558" s="33"/>
      <c r="G558" s="33"/>
      <c r="H558" s="33"/>
    </row>
    <row r="559" spans="5:8" x14ac:dyDescent="0.25">
      <c r="E559" s="33"/>
      <c r="F559" s="33"/>
      <c r="G559" s="33"/>
      <c r="H559" s="33"/>
    </row>
    <row r="560" spans="5:8" x14ac:dyDescent="0.25">
      <c r="E560" s="33"/>
      <c r="F560" s="33"/>
      <c r="G560" s="33"/>
      <c r="H560" s="33"/>
    </row>
    <row r="561" spans="5:8" x14ac:dyDescent="0.25">
      <c r="E561" s="33"/>
      <c r="F561" s="33"/>
      <c r="G561" s="33"/>
      <c r="H561" s="33"/>
    </row>
    <row r="562" spans="5:8" x14ac:dyDescent="0.25">
      <c r="E562" s="33"/>
      <c r="F562" s="33"/>
      <c r="G562" s="33"/>
      <c r="H562" s="33"/>
    </row>
    <row r="563" spans="5:8" x14ac:dyDescent="0.25">
      <c r="E563" s="33"/>
      <c r="F563" s="33"/>
      <c r="G563" s="33"/>
      <c r="H563" s="33"/>
    </row>
    <row r="564" spans="5:8" x14ac:dyDescent="0.25">
      <c r="E564" s="33"/>
      <c r="F564" s="33"/>
      <c r="G564" s="33"/>
      <c r="H564" s="33"/>
    </row>
    <row r="565" spans="5:8" x14ac:dyDescent="0.25">
      <c r="E565" s="33"/>
      <c r="F565" s="33"/>
      <c r="G565" s="33"/>
      <c r="H565" s="33"/>
    </row>
    <row r="566" spans="5:8" x14ac:dyDescent="0.25">
      <c r="E566" s="33"/>
      <c r="F566" s="33"/>
      <c r="G566" s="33"/>
      <c r="H566" s="33"/>
    </row>
    <row r="567" spans="5:8" x14ac:dyDescent="0.25">
      <c r="E567" s="33"/>
      <c r="F567" s="33"/>
      <c r="G567" s="33"/>
      <c r="H567" s="33"/>
    </row>
    <row r="568" spans="5:8" x14ac:dyDescent="0.25">
      <c r="E568" s="33"/>
      <c r="F568" s="33"/>
      <c r="G568" s="33"/>
      <c r="H568" s="33"/>
    </row>
    <row r="569" spans="5:8" x14ac:dyDescent="0.25">
      <c r="E569" s="33"/>
      <c r="F569" s="33"/>
      <c r="G569" s="33"/>
      <c r="H569" s="33"/>
    </row>
    <row r="570" spans="5:8" x14ac:dyDescent="0.25">
      <c r="E570" s="33"/>
      <c r="F570" s="33"/>
      <c r="G570" s="33"/>
      <c r="H570" s="33"/>
    </row>
    <row r="571" spans="5:8" x14ac:dyDescent="0.25">
      <c r="E571" s="33"/>
      <c r="F571" s="33"/>
      <c r="G571" s="33"/>
      <c r="H571" s="33"/>
    </row>
    <row r="572" spans="5:8" x14ac:dyDescent="0.25">
      <c r="E572" s="33"/>
      <c r="F572" s="33"/>
      <c r="G572" s="33"/>
      <c r="H572" s="33"/>
    </row>
    <row r="573" spans="5:8" x14ac:dyDescent="0.25">
      <c r="E573" s="33"/>
      <c r="F573" s="33"/>
      <c r="G573" s="33"/>
      <c r="H573" s="33"/>
    </row>
    <row r="574" spans="5:8" x14ac:dyDescent="0.25">
      <c r="E574" s="33"/>
      <c r="F574" s="33"/>
      <c r="G574" s="33"/>
      <c r="H574" s="33"/>
    </row>
    <row r="575" spans="5:8" x14ac:dyDescent="0.25">
      <c r="E575" s="33"/>
      <c r="F575" s="33"/>
      <c r="G575" s="33"/>
      <c r="H575" s="33"/>
    </row>
    <row r="576" spans="5:8" x14ac:dyDescent="0.25">
      <c r="E576" s="33"/>
      <c r="F576" s="33"/>
      <c r="G576" s="33"/>
      <c r="H576" s="33"/>
    </row>
    <row r="577" spans="5:8" x14ac:dyDescent="0.25">
      <c r="E577" s="33"/>
      <c r="F577" s="33"/>
      <c r="G577" s="33"/>
      <c r="H577" s="33"/>
    </row>
    <row r="578" spans="5:8" x14ac:dyDescent="0.25">
      <c r="E578" s="33"/>
      <c r="F578" s="33"/>
      <c r="G578" s="33"/>
      <c r="H578" s="33"/>
    </row>
    <row r="579" spans="5:8" x14ac:dyDescent="0.25">
      <c r="E579" s="33"/>
      <c r="F579" s="33"/>
      <c r="G579" s="33"/>
      <c r="H579" s="33"/>
    </row>
    <row r="580" spans="5:8" x14ac:dyDescent="0.25">
      <c r="E580" s="33"/>
      <c r="F580" s="33"/>
      <c r="G580" s="33"/>
      <c r="H580" s="33"/>
    </row>
    <row r="581" spans="5:8" x14ac:dyDescent="0.25">
      <c r="E581" s="33"/>
      <c r="F581" s="33"/>
      <c r="G581" s="33"/>
      <c r="H581" s="33"/>
    </row>
    <row r="582" spans="5:8" x14ac:dyDescent="0.25">
      <c r="E582" s="33"/>
      <c r="F582" s="33"/>
      <c r="G582" s="33"/>
      <c r="H582" s="33"/>
    </row>
    <row r="583" spans="5:8" x14ac:dyDescent="0.25">
      <c r="E583" s="33"/>
      <c r="F583" s="33"/>
      <c r="G583" s="33"/>
      <c r="H583" s="33"/>
    </row>
    <row r="584" spans="5:8" x14ac:dyDescent="0.25">
      <c r="E584" s="33"/>
      <c r="F584" s="33"/>
      <c r="G584" s="33"/>
      <c r="H584" s="33"/>
    </row>
    <row r="585" spans="5:8" x14ac:dyDescent="0.25">
      <c r="E585" s="33"/>
      <c r="F585" s="33"/>
      <c r="G585" s="33"/>
      <c r="H585" s="33"/>
    </row>
    <row r="586" spans="5:8" x14ac:dyDescent="0.25">
      <c r="E586" s="33"/>
      <c r="F586" s="33"/>
      <c r="G586" s="33"/>
      <c r="H586" s="33"/>
    </row>
    <row r="587" spans="5:8" x14ac:dyDescent="0.25">
      <c r="E587" s="33"/>
      <c r="F587" s="33"/>
      <c r="G587" s="33"/>
      <c r="H587" s="33"/>
    </row>
    <row r="588" spans="5:8" x14ac:dyDescent="0.25">
      <c r="E588" s="33"/>
      <c r="F588" s="33"/>
      <c r="G588" s="33"/>
      <c r="H588" s="33"/>
    </row>
    <row r="589" spans="5:8" x14ac:dyDescent="0.25">
      <c r="E589" s="33"/>
      <c r="F589" s="33"/>
      <c r="G589" s="33"/>
      <c r="H589" s="33"/>
    </row>
    <row r="590" spans="5:8" x14ac:dyDescent="0.25">
      <c r="E590" s="33"/>
      <c r="F590" s="33"/>
      <c r="G590" s="33"/>
      <c r="H590" s="33"/>
    </row>
    <row r="591" spans="5:8" x14ac:dyDescent="0.25">
      <c r="E591" s="33"/>
      <c r="F591" s="33"/>
      <c r="G591" s="33"/>
      <c r="H591" s="33"/>
    </row>
    <row r="592" spans="5:8" x14ac:dyDescent="0.25">
      <c r="E592" s="33"/>
      <c r="F592" s="33"/>
      <c r="G592" s="33"/>
      <c r="H592" s="33"/>
    </row>
    <row r="593" spans="5:8" x14ac:dyDescent="0.25">
      <c r="E593" s="33"/>
      <c r="F593" s="33"/>
      <c r="G593" s="33"/>
      <c r="H593" s="33"/>
    </row>
    <row r="594" spans="5:8" x14ac:dyDescent="0.25">
      <c r="E594" s="33"/>
      <c r="F594" s="33"/>
      <c r="G594" s="33"/>
      <c r="H594" s="33"/>
    </row>
    <row r="595" spans="5:8" x14ac:dyDescent="0.25">
      <c r="E595" s="33"/>
      <c r="F595" s="33"/>
      <c r="G595" s="33"/>
      <c r="H595" s="33"/>
    </row>
    <row r="596" spans="5:8" x14ac:dyDescent="0.25">
      <c r="E596" s="33"/>
      <c r="F596" s="33"/>
      <c r="G596" s="33"/>
      <c r="H596" s="33"/>
    </row>
    <row r="597" spans="5:8" x14ac:dyDescent="0.25">
      <c r="E597" s="33"/>
      <c r="F597" s="33"/>
      <c r="G597" s="33"/>
      <c r="H597" s="33"/>
    </row>
    <row r="598" spans="5:8" x14ac:dyDescent="0.25">
      <c r="E598" s="33"/>
      <c r="F598" s="33"/>
      <c r="G598" s="33"/>
      <c r="H598" s="33"/>
    </row>
    <row r="599" spans="5:8" x14ac:dyDescent="0.25">
      <c r="E599" s="33"/>
      <c r="F599" s="33"/>
      <c r="G599" s="33"/>
      <c r="H599" s="33"/>
    </row>
    <row r="600" spans="5:8" x14ac:dyDescent="0.25">
      <c r="E600" s="33"/>
      <c r="F600" s="33"/>
      <c r="G600" s="33"/>
      <c r="H600" s="33"/>
    </row>
    <row r="601" spans="5:8" x14ac:dyDescent="0.25">
      <c r="E601" s="33"/>
      <c r="F601" s="33"/>
      <c r="G601" s="33"/>
      <c r="H601" s="33"/>
    </row>
    <row r="602" spans="5:8" x14ac:dyDescent="0.25">
      <c r="E602" s="33"/>
      <c r="F602" s="33"/>
      <c r="G602" s="33"/>
      <c r="H602" s="33"/>
    </row>
    <row r="603" spans="5:8" x14ac:dyDescent="0.25">
      <c r="E603" s="33"/>
      <c r="F603" s="33"/>
      <c r="G603" s="33"/>
      <c r="H603" s="33"/>
    </row>
    <row r="604" spans="5:8" x14ac:dyDescent="0.25">
      <c r="E604" s="33"/>
      <c r="F604" s="33"/>
      <c r="G604" s="33"/>
      <c r="H604" s="33"/>
    </row>
    <row r="605" spans="5:8" x14ac:dyDescent="0.25">
      <c r="E605" s="33"/>
      <c r="F605" s="33"/>
      <c r="G605" s="33"/>
      <c r="H605" s="33"/>
    </row>
    <row r="606" spans="5:8" x14ac:dyDescent="0.25">
      <c r="E606" s="33"/>
      <c r="F606" s="33"/>
      <c r="G606" s="33"/>
      <c r="H606" s="33"/>
    </row>
    <row r="607" spans="5:8" x14ac:dyDescent="0.25">
      <c r="E607" s="33"/>
      <c r="F607" s="33"/>
      <c r="G607" s="33"/>
      <c r="H607" s="33"/>
    </row>
    <row r="608" spans="5:8" x14ac:dyDescent="0.25">
      <c r="E608" s="33"/>
      <c r="F608" s="33"/>
      <c r="G608" s="33"/>
      <c r="H608" s="33"/>
    </row>
    <row r="609" spans="5:8" x14ac:dyDescent="0.25">
      <c r="E609" s="33"/>
      <c r="F609" s="33"/>
      <c r="G609" s="33"/>
      <c r="H609" s="33"/>
    </row>
    <row r="610" spans="5:8" x14ac:dyDescent="0.25">
      <c r="E610" s="33"/>
      <c r="F610" s="33"/>
      <c r="G610" s="33"/>
      <c r="H610" s="33"/>
    </row>
    <row r="611" spans="5:8" x14ac:dyDescent="0.25">
      <c r="E611" s="33"/>
      <c r="F611" s="33"/>
      <c r="G611" s="33"/>
      <c r="H611" s="33"/>
    </row>
    <row r="612" spans="5:8" x14ac:dyDescent="0.25">
      <c r="E612" s="33"/>
      <c r="F612" s="33"/>
      <c r="G612" s="33"/>
      <c r="H612" s="33"/>
    </row>
    <row r="613" spans="5:8" x14ac:dyDescent="0.25">
      <c r="E613" s="33"/>
      <c r="F613" s="33"/>
      <c r="G613" s="33"/>
      <c r="H613" s="33"/>
    </row>
    <row r="614" spans="5:8" x14ac:dyDescent="0.25">
      <c r="E614" s="33"/>
      <c r="F614" s="33"/>
      <c r="G614" s="33"/>
      <c r="H614" s="33"/>
    </row>
    <row r="615" spans="5:8" x14ac:dyDescent="0.25">
      <c r="E615" s="33"/>
      <c r="F615" s="33"/>
      <c r="G615" s="33"/>
      <c r="H615" s="33"/>
    </row>
    <row r="616" spans="5:8" x14ac:dyDescent="0.25">
      <c r="E616" s="33"/>
      <c r="F616" s="33"/>
      <c r="G616" s="33"/>
      <c r="H616" s="33"/>
    </row>
    <row r="617" spans="5:8" x14ac:dyDescent="0.25">
      <c r="E617" s="33"/>
      <c r="F617" s="33"/>
      <c r="G617" s="33"/>
      <c r="H617" s="33"/>
    </row>
    <row r="618" spans="5:8" x14ac:dyDescent="0.25">
      <c r="E618" s="33"/>
      <c r="F618" s="33"/>
      <c r="G618" s="33"/>
      <c r="H618" s="33"/>
    </row>
    <row r="619" spans="5:8" x14ac:dyDescent="0.25">
      <c r="E619" s="33"/>
      <c r="F619" s="33"/>
      <c r="G619" s="33"/>
      <c r="H619" s="33"/>
    </row>
    <row r="620" spans="5:8" x14ac:dyDescent="0.25">
      <c r="E620" s="33"/>
      <c r="F620" s="33"/>
      <c r="G620" s="33"/>
      <c r="H620" s="33"/>
    </row>
    <row r="621" spans="5:8" x14ac:dyDescent="0.25">
      <c r="E621" s="33"/>
      <c r="F621" s="33"/>
      <c r="G621" s="33"/>
      <c r="H621" s="33"/>
    </row>
    <row r="622" spans="5:8" x14ac:dyDescent="0.25">
      <c r="E622" s="33"/>
      <c r="F622" s="33"/>
      <c r="G622" s="33"/>
      <c r="H622" s="33"/>
    </row>
    <row r="623" spans="5:8" x14ac:dyDescent="0.25">
      <c r="E623" s="33"/>
      <c r="F623" s="33"/>
      <c r="G623" s="33"/>
      <c r="H623" s="33"/>
    </row>
    <row r="624" spans="5:8" x14ac:dyDescent="0.25">
      <c r="E624" s="33"/>
      <c r="F624" s="33"/>
      <c r="G624" s="33"/>
      <c r="H624" s="33"/>
    </row>
    <row r="625" spans="5:8" x14ac:dyDescent="0.25">
      <c r="E625" s="33"/>
      <c r="F625" s="33"/>
      <c r="G625" s="33"/>
      <c r="H625" s="33"/>
    </row>
    <row r="626" spans="5:8" x14ac:dyDescent="0.25">
      <c r="E626" s="33"/>
      <c r="F626" s="33"/>
      <c r="G626" s="33"/>
      <c r="H626" s="33"/>
    </row>
    <row r="627" spans="5:8" x14ac:dyDescent="0.25">
      <c r="E627" s="33"/>
      <c r="F627" s="33"/>
      <c r="G627" s="33"/>
      <c r="H627" s="33"/>
    </row>
    <row r="628" spans="5:8" x14ac:dyDescent="0.25">
      <c r="E628" s="33"/>
      <c r="F628" s="33"/>
      <c r="G628" s="33"/>
      <c r="H628" s="33"/>
    </row>
    <row r="629" spans="5:8" x14ac:dyDescent="0.25">
      <c r="E629" s="33"/>
      <c r="F629" s="33"/>
      <c r="G629" s="33"/>
      <c r="H629" s="33"/>
    </row>
    <row r="630" spans="5:8" x14ac:dyDescent="0.25">
      <c r="E630" s="33"/>
      <c r="F630" s="33"/>
      <c r="G630" s="33"/>
      <c r="H630" s="33"/>
    </row>
    <row r="631" spans="5:8" x14ac:dyDescent="0.25">
      <c r="E631" s="33"/>
      <c r="F631" s="33"/>
      <c r="G631" s="33"/>
      <c r="H631" s="33"/>
    </row>
    <row r="632" spans="5:8" x14ac:dyDescent="0.25">
      <c r="E632" s="33"/>
      <c r="F632" s="33"/>
      <c r="G632" s="33"/>
      <c r="H632" s="33"/>
    </row>
    <row r="633" spans="5:8" x14ac:dyDescent="0.25">
      <c r="E633" s="33"/>
      <c r="F633" s="33"/>
      <c r="G633" s="33"/>
      <c r="H633" s="33"/>
    </row>
    <row r="634" spans="5:8" x14ac:dyDescent="0.25">
      <c r="E634" s="33"/>
      <c r="F634" s="33"/>
      <c r="G634" s="33"/>
      <c r="H634" s="33"/>
    </row>
    <row r="635" spans="5:8" x14ac:dyDescent="0.25">
      <c r="E635" s="33"/>
      <c r="F635" s="33"/>
      <c r="G635" s="33"/>
      <c r="H635" s="33"/>
    </row>
    <row r="636" spans="5:8" x14ac:dyDescent="0.25">
      <c r="E636" s="33"/>
      <c r="F636" s="33"/>
      <c r="G636" s="33"/>
      <c r="H636" s="33"/>
    </row>
    <row r="637" spans="5:8" x14ac:dyDescent="0.25">
      <c r="E637" s="33"/>
      <c r="F637" s="33"/>
      <c r="G637" s="33"/>
      <c r="H637" s="33"/>
    </row>
    <row r="638" spans="5:8" x14ac:dyDescent="0.25">
      <c r="E638" s="33"/>
      <c r="F638" s="33"/>
      <c r="G638" s="33"/>
      <c r="H638" s="33"/>
    </row>
    <row r="639" spans="5:8" x14ac:dyDescent="0.25">
      <c r="E639" s="33"/>
      <c r="F639" s="33"/>
      <c r="G639" s="33"/>
      <c r="H639" s="33"/>
    </row>
    <row r="640" spans="5:8" x14ac:dyDescent="0.25">
      <c r="E640" s="33"/>
      <c r="F640" s="33"/>
      <c r="G640" s="33"/>
      <c r="H640" s="33"/>
    </row>
    <row r="641" spans="5:8" x14ac:dyDescent="0.25">
      <c r="E641" s="33"/>
      <c r="F641" s="33"/>
      <c r="G641" s="33"/>
      <c r="H641" s="33"/>
    </row>
    <row r="642" spans="5:8" x14ac:dyDescent="0.25">
      <c r="E642" s="33"/>
      <c r="F642" s="33"/>
      <c r="G642" s="33"/>
      <c r="H642" s="33"/>
    </row>
    <row r="643" spans="5:8" x14ac:dyDescent="0.25">
      <c r="E643" s="33"/>
      <c r="F643" s="33"/>
      <c r="G643" s="33"/>
      <c r="H643" s="33"/>
    </row>
    <row r="644" spans="5:8" x14ac:dyDescent="0.25">
      <c r="E644" s="33"/>
      <c r="F644" s="33"/>
      <c r="G644" s="33"/>
      <c r="H644" s="33"/>
    </row>
    <row r="645" spans="5:8" x14ac:dyDescent="0.25">
      <c r="E645" s="33"/>
      <c r="F645" s="33"/>
      <c r="G645" s="33"/>
      <c r="H645" s="33"/>
    </row>
    <row r="646" spans="5:8" x14ac:dyDescent="0.25">
      <c r="E646" s="33"/>
      <c r="F646" s="33"/>
      <c r="G646" s="33"/>
      <c r="H646" s="33"/>
    </row>
    <row r="647" spans="5:8" x14ac:dyDescent="0.25">
      <c r="E647" s="33"/>
      <c r="F647" s="33"/>
      <c r="G647" s="33"/>
      <c r="H647" s="33"/>
    </row>
    <row r="648" spans="5:8" x14ac:dyDescent="0.25">
      <c r="E648" s="33"/>
      <c r="F648" s="33"/>
      <c r="G648" s="33"/>
      <c r="H648" s="33"/>
    </row>
    <row r="649" spans="5:8" x14ac:dyDescent="0.25">
      <c r="E649" s="33"/>
      <c r="F649" s="33"/>
      <c r="G649" s="33"/>
      <c r="H649" s="33"/>
    </row>
    <row r="650" spans="5:8" x14ac:dyDescent="0.25">
      <c r="E650" s="33"/>
      <c r="F650" s="33"/>
      <c r="G650" s="33"/>
      <c r="H650" s="33"/>
    </row>
    <row r="651" spans="5:8" x14ac:dyDescent="0.25">
      <c r="E651" s="33"/>
      <c r="F651" s="33"/>
      <c r="G651" s="33"/>
      <c r="H651" s="33"/>
    </row>
    <row r="652" spans="5:8" x14ac:dyDescent="0.25">
      <c r="E652" s="33"/>
      <c r="F652" s="33"/>
      <c r="G652" s="33"/>
      <c r="H652" s="33"/>
    </row>
    <row r="653" spans="5:8" x14ac:dyDescent="0.25">
      <c r="E653" s="33"/>
      <c r="F653" s="33"/>
      <c r="G653" s="33"/>
      <c r="H653" s="33"/>
    </row>
    <row r="654" spans="5:8" x14ac:dyDescent="0.25">
      <c r="E654" s="33"/>
      <c r="F654" s="33"/>
      <c r="G654" s="33"/>
      <c r="H654" s="33"/>
    </row>
    <row r="655" spans="5:8" x14ac:dyDescent="0.25">
      <c r="E655" s="33"/>
      <c r="F655" s="33"/>
      <c r="G655" s="33"/>
      <c r="H655" s="33"/>
    </row>
    <row r="656" spans="5:8" x14ac:dyDescent="0.25">
      <c r="E656" s="33"/>
      <c r="F656" s="33"/>
      <c r="G656" s="33"/>
      <c r="H656" s="33"/>
    </row>
    <row r="657" spans="5:8" x14ac:dyDescent="0.25">
      <c r="E657" s="33"/>
      <c r="F657" s="33"/>
      <c r="G657" s="33"/>
      <c r="H657" s="33"/>
    </row>
    <row r="658" spans="5:8" x14ac:dyDescent="0.25">
      <c r="E658" s="33"/>
      <c r="F658" s="33"/>
      <c r="G658" s="33"/>
      <c r="H658" s="33"/>
    </row>
    <row r="659" spans="5:8" x14ac:dyDescent="0.25">
      <c r="E659" s="33"/>
      <c r="F659" s="33"/>
      <c r="G659" s="33"/>
      <c r="H659" s="33"/>
    </row>
    <row r="660" spans="5:8" x14ac:dyDescent="0.25">
      <c r="E660" s="33"/>
      <c r="F660" s="33"/>
      <c r="G660" s="33"/>
      <c r="H660" s="33"/>
    </row>
    <row r="661" spans="5:8" x14ac:dyDescent="0.25">
      <c r="E661" s="33"/>
      <c r="F661" s="33"/>
      <c r="G661" s="33"/>
      <c r="H661" s="33"/>
    </row>
    <row r="662" spans="5:8" x14ac:dyDescent="0.25">
      <c r="E662" s="33"/>
      <c r="F662" s="33"/>
      <c r="G662" s="33"/>
      <c r="H662" s="33"/>
    </row>
    <row r="663" spans="5:8" x14ac:dyDescent="0.25">
      <c r="E663" s="33"/>
      <c r="F663" s="33"/>
      <c r="G663" s="33"/>
      <c r="H663" s="33"/>
    </row>
    <row r="664" spans="5:8" x14ac:dyDescent="0.25">
      <c r="E664" s="33"/>
      <c r="F664" s="33"/>
      <c r="G664" s="33"/>
      <c r="H664" s="33"/>
    </row>
    <row r="665" spans="5:8" x14ac:dyDescent="0.25">
      <c r="E665" s="33"/>
      <c r="F665" s="33"/>
      <c r="G665" s="33"/>
      <c r="H665" s="33"/>
    </row>
    <row r="666" spans="5:8" x14ac:dyDescent="0.25">
      <c r="E666" s="33"/>
      <c r="F666" s="33"/>
      <c r="G666" s="33"/>
      <c r="H666" s="33"/>
    </row>
    <row r="667" spans="5:8" x14ac:dyDescent="0.25">
      <c r="E667" s="33"/>
      <c r="F667" s="33"/>
      <c r="G667" s="33"/>
      <c r="H667" s="33"/>
    </row>
    <row r="668" spans="5:8" x14ac:dyDescent="0.25">
      <c r="E668" s="33"/>
      <c r="F668" s="33"/>
      <c r="G668" s="33"/>
      <c r="H668" s="33"/>
    </row>
    <row r="669" spans="5:8" x14ac:dyDescent="0.25">
      <c r="E669" s="33"/>
      <c r="F669" s="33"/>
      <c r="G669" s="33"/>
      <c r="H669" s="33"/>
    </row>
    <row r="670" spans="5:8" x14ac:dyDescent="0.25">
      <c r="E670" s="33"/>
      <c r="F670" s="33"/>
      <c r="G670" s="33"/>
      <c r="H670" s="33"/>
    </row>
    <row r="671" spans="5:8" x14ac:dyDescent="0.25">
      <c r="E671" s="33"/>
      <c r="F671" s="33"/>
      <c r="G671" s="33"/>
      <c r="H671" s="33"/>
    </row>
    <row r="672" spans="5:8" x14ac:dyDescent="0.25">
      <c r="E672" s="33"/>
      <c r="F672" s="33"/>
      <c r="G672" s="33"/>
      <c r="H672" s="33"/>
    </row>
    <row r="673" spans="5:8" x14ac:dyDescent="0.25">
      <c r="E673" s="33"/>
      <c r="F673" s="33"/>
      <c r="G673" s="33"/>
      <c r="H673" s="33"/>
    </row>
    <row r="674" spans="5:8" x14ac:dyDescent="0.25">
      <c r="E674" s="33"/>
      <c r="F674" s="33"/>
      <c r="G674" s="33"/>
      <c r="H674" s="33"/>
    </row>
    <row r="675" spans="5:8" x14ac:dyDescent="0.25">
      <c r="E675" s="33"/>
      <c r="F675" s="33"/>
      <c r="G675" s="33"/>
      <c r="H675" s="33"/>
    </row>
    <row r="676" spans="5:8" x14ac:dyDescent="0.25">
      <c r="E676" s="33"/>
      <c r="F676" s="33"/>
      <c r="G676" s="33"/>
      <c r="H676" s="33"/>
    </row>
    <row r="677" spans="5:8" x14ac:dyDescent="0.25">
      <c r="E677" s="33"/>
      <c r="F677" s="33"/>
      <c r="G677" s="33"/>
      <c r="H677" s="33"/>
    </row>
    <row r="678" spans="5:8" x14ac:dyDescent="0.25">
      <c r="E678" s="33"/>
      <c r="F678" s="33"/>
      <c r="G678" s="33"/>
      <c r="H678" s="33"/>
    </row>
    <row r="679" spans="5:8" x14ac:dyDescent="0.25">
      <c r="E679" s="33"/>
      <c r="F679" s="33"/>
      <c r="G679" s="33"/>
      <c r="H679" s="33"/>
    </row>
    <row r="680" spans="5:8" x14ac:dyDescent="0.25">
      <c r="E680" s="33"/>
      <c r="F680" s="33"/>
      <c r="G680" s="33"/>
      <c r="H680" s="33"/>
    </row>
    <row r="681" spans="5:8" x14ac:dyDescent="0.25">
      <c r="E681" s="33"/>
      <c r="F681" s="33"/>
      <c r="G681" s="33"/>
      <c r="H681" s="33"/>
    </row>
    <row r="682" spans="5:8" x14ac:dyDescent="0.25">
      <c r="E682" s="33"/>
      <c r="F682" s="33"/>
      <c r="G682" s="33"/>
      <c r="H682" s="33"/>
    </row>
    <row r="683" spans="5:8" x14ac:dyDescent="0.25">
      <c r="E683" s="33"/>
      <c r="F683" s="33"/>
      <c r="G683" s="33"/>
      <c r="H683" s="33"/>
    </row>
    <row r="684" spans="5:8" x14ac:dyDescent="0.25">
      <c r="E684" s="33"/>
      <c r="F684" s="33"/>
      <c r="G684" s="33"/>
      <c r="H684" s="33"/>
    </row>
    <row r="685" spans="5:8" x14ac:dyDescent="0.25">
      <c r="E685" s="33"/>
      <c r="F685" s="33"/>
      <c r="G685" s="33"/>
      <c r="H685" s="33"/>
    </row>
    <row r="686" spans="5:8" x14ac:dyDescent="0.25">
      <c r="E686" s="33"/>
      <c r="F686" s="33"/>
      <c r="G686" s="33"/>
      <c r="H686" s="33"/>
    </row>
    <row r="687" spans="5:8" x14ac:dyDescent="0.25">
      <c r="E687" s="33"/>
      <c r="F687" s="33"/>
      <c r="G687" s="33"/>
      <c r="H687" s="33"/>
    </row>
    <row r="688" spans="5:8" x14ac:dyDescent="0.25">
      <c r="E688" s="33"/>
      <c r="F688" s="33"/>
      <c r="G688" s="33"/>
      <c r="H688" s="33"/>
    </row>
    <row r="689" spans="5:8" x14ac:dyDescent="0.25">
      <c r="E689" s="33"/>
      <c r="F689" s="33"/>
      <c r="G689" s="33"/>
      <c r="H689" s="33"/>
    </row>
    <row r="690" spans="5:8" x14ac:dyDescent="0.25">
      <c r="E690" s="33"/>
      <c r="F690" s="33"/>
      <c r="G690" s="33"/>
      <c r="H690" s="33"/>
    </row>
    <row r="691" spans="5:8" x14ac:dyDescent="0.25">
      <c r="E691" s="33"/>
      <c r="F691" s="33"/>
      <c r="G691" s="33"/>
      <c r="H691" s="33"/>
    </row>
    <row r="692" spans="5:8" x14ac:dyDescent="0.25">
      <c r="E692" s="33"/>
      <c r="F692" s="33"/>
      <c r="G692" s="33"/>
      <c r="H692" s="33"/>
    </row>
    <row r="693" spans="5:8" x14ac:dyDescent="0.25">
      <c r="E693" s="33"/>
      <c r="F693" s="33"/>
      <c r="G693" s="33"/>
      <c r="H693" s="33"/>
    </row>
    <row r="694" spans="5:8" x14ac:dyDescent="0.25">
      <c r="E694" s="33"/>
      <c r="F694" s="33"/>
      <c r="G694" s="33"/>
      <c r="H694" s="33"/>
    </row>
    <row r="695" spans="5:8" x14ac:dyDescent="0.25">
      <c r="E695" s="33"/>
      <c r="F695" s="33"/>
      <c r="G695" s="33"/>
      <c r="H695" s="33"/>
    </row>
    <row r="696" spans="5:8" x14ac:dyDescent="0.25">
      <c r="E696" s="33"/>
      <c r="F696" s="33"/>
      <c r="G696" s="33"/>
      <c r="H696" s="33"/>
    </row>
    <row r="697" spans="5:8" x14ac:dyDescent="0.25">
      <c r="E697" s="33"/>
      <c r="F697" s="33"/>
      <c r="G697" s="33"/>
      <c r="H697" s="33"/>
    </row>
    <row r="698" spans="5:8" x14ac:dyDescent="0.25">
      <c r="E698" s="33"/>
      <c r="F698" s="33"/>
      <c r="G698" s="33"/>
      <c r="H698" s="33"/>
    </row>
    <row r="699" spans="5:8" x14ac:dyDescent="0.25">
      <c r="E699" s="33"/>
      <c r="F699" s="33"/>
      <c r="G699" s="33"/>
      <c r="H699" s="33"/>
    </row>
    <row r="700" spans="5:8" x14ac:dyDescent="0.25">
      <c r="E700" s="33"/>
      <c r="F700" s="33"/>
      <c r="G700" s="33"/>
      <c r="H700" s="33"/>
    </row>
    <row r="701" spans="5:8" x14ac:dyDescent="0.25">
      <c r="E701" s="33"/>
      <c r="F701" s="33"/>
      <c r="G701" s="33"/>
      <c r="H701" s="33"/>
    </row>
    <row r="702" spans="5:8" x14ac:dyDescent="0.25">
      <c r="E702" s="33"/>
      <c r="F702" s="33"/>
      <c r="G702" s="33"/>
      <c r="H702" s="33"/>
    </row>
    <row r="703" spans="5:8" x14ac:dyDescent="0.25">
      <c r="E703" s="33"/>
      <c r="F703" s="33"/>
      <c r="G703" s="33"/>
      <c r="H703" s="33"/>
    </row>
    <row r="704" spans="5:8" x14ac:dyDescent="0.25">
      <c r="E704" s="33"/>
      <c r="F704" s="33"/>
      <c r="G704" s="33"/>
      <c r="H704" s="33"/>
    </row>
    <row r="705" spans="5:8" x14ac:dyDescent="0.25">
      <c r="E705" s="33"/>
      <c r="F705" s="33"/>
      <c r="G705" s="33"/>
      <c r="H705" s="33"/>
    </row>
    <row r="706" spans="5:8" x14ac:dyDescent="0.25">
      <c r="E706" s="33"/>
      <c r="F706" s="33"/>
      <c r="G706" s="33"/>
      <c r="H706" s="33"/>
    </row>
    <row r="707" spans="5:8" x14ac:dyDescent="0.25">
      <c r="E707" s="33"/>
      <c r="F707" s="33"/>
      <c r="G707" s="33"/>
      <c r="H707" s="33"/>
    </row>
    <row r="708" spans="5:8" x14ac:dyDescent="0.25">
      <c r="E708" s="33"/>
      <c r="F708" s="33"/>
      <c r="G708" s="33"/>
      <c r="H708" s="33"/>
    </row>
    <row r="709" spans="5:8" x14ac:dyDescent="0.25">
      <c r="E709" s="33"/>
      <c r="F709" s="33"/>
      <c r="G709" s="33"/>
      <c r="H709" s="33"/>
    </row>
    <row r="710" spans="5:8" x14ac:dyDescent="0.25">
      <c r="E710" s="33"/>
      <c r="F710" s="33"/>
      <c r="G710" s="33"/>
      <c r="H710" s="33"/>
    </row>
    <row r="711" spans="5:8" x14ac:dyDescent="0.25">
      <c r="E711" s="33"/>
      <c r="F711" s="33"/>
      <c r="G711" s="33"/>
      <c r="H711" s="33"/>
    </row>
    <row r="712" spans="5:8" x14ac:dyDescent="0.25">
      <c r="E712" s="33"/>
      <c r="F712" s="33"/>
      <c r="G712" s="33"/>
      <c r="H712" s="33"/>
    </row>
    <row r="713" spans="5:8" x14ac:dyDescent="0.25">
      <c r="E713" s="33"/>
      <c r="F713" s="33"/>
      <c r="G713" s="33"/>
      <c r="H713" s="33"/>
    </row>
    <row r="714" spans="5:8" x14ac:dyDescent="0.25">
      <c r="E714" s="33"/>
      <c r="F714" s="33"/>
      <c r="G714" s="33"/>
      <c r="H714" s="33"/>
    </row>
    <row r="715" spans="5:8" x14ac:dyDescent="0.25">
      <c r="E715" s="33"/>
      <c r="F715" s="33"/>
      <c r="G715" s="33"/>
      <c r="H715" s="33"/>
    </row>
    <row r="716" spans="5:8" x14ac:dyDescent="0.25">
      <c r="E716" s="33"/>
      <c r="F716" s="33"/>
      <c r="G716" s="33"/>
      <c r="H716" s="33"/>
    </row>
    <row r="717" spans="5:8" x14ac:dyDescent="0.25">
      <c r="E717" s="33"/>
      <c r="F717" s="33"/>
      <c r="G717" s="33"/>
      <c r="H717" s="33"/>
    </row>
    <row r="718" spans="5:8" x14ac:dyDescent="0.25">
      <c r="E718" s="33"/>
      <c r="F718" s="33"/>
      <c r="G718" s="33"/>
      <c r="H718" s="33"/>
    </row>
    <row r="719" spans="5:8" x14ac:dyDescent="0.25">
      <c r="E719" s="33"/>
      <c r="F719" s="33"/>
      <c r="G719" s="33"/>
      <c r="H719" s="33"/>
    </row>
    <row r="720" spans="5:8" x14ac:dyDescent="0.25">
      <c r="E720" s="33"/>
      <c r="F720" s="33"/>
      <c r="G720" s="33"/>
      <c r="H720" s="33"/>
    </row>
    <row r="721" spans="5:8" x14ac:dyDescent="0.25">
      <c r="E721" s="33"/>
      <c r="F721" s="33"/>
      <c r="G721" s="33"/>
      <c r="H721" s="33"/>
    </row>
    <row r="722" spans="5:8" x14ac:dyDescent="0.25">
      <c r="E722" s="33"/>
      <c r="F722" s="33"/>
      <c r="G722" s="33"/>
      <c r="H722" s="33"/>
    </row>
    <row r="723" spans="5:8" x14ac:dyDescent="0.25">
      <c r="E723" s="33"/>
      <c r="F723" s="33"/>
      <c r="G723" s="33"/>
      <c r="H723" s="33"/>
    </row>
    <row r="724" spans="5:8" x14ac:dyDescent="0.25">
      <c r="E724" s="33"/>
      <c r="F724" s="33"/>
      <c r="G724" s="33"/>
      <c r="H724" s="33"/>
    </row>
    <row r="725" spans="5:8" x14ac:dyDescent="0.25">
      <c r="E725" s="33"/>
      <c r="F725" s="33"/>
      <c r="G725" s="33"/>
      <c r="H725" s="33"/>
    </row>
    <row r="726" spans="5:8" x14ac:dyDescent="0.25">
      <c r="E726" s="33"/>
      <c r="F726" s="33"/>
      <c r="G726" s="33"/>
      <c r="H726" s="33"/>
    </row>
    <row r="727" spans="5:8" x14ac:dyDescent="0.25">
      <c r="E727" s="33"/>
      <c r="F727" s="33"/>
      <c r="G727" s="33"/>
      <c r="H727" s="33"/>
    </row>
    <row r="728" spans="5:8" x14ac:dyDescent="0.25">
      <c r="E728" s="33"/>
      <c r="F728" s="33"/>
      <c r="G728" s="33"/>
      <c r="H728" s="33"/>
    </row>
    <row r="729" spans="5:8" x14ac:dyDescent="0.25">
      <c r="E729" s="33"/>
      <c r="F729" s="33"/>
      <c r="G729" s="33"/>
      <c r="H729" s="33"/>
    </row>
    <row r="730" spans="5:8" x14ac:dyDescent="0.25">
      <c r="E730" s="33"/>
      <c r="F730" s="33"/>
      <c r="G730" s="33"/>
      <c r="H730" s="33"/>
    </row>
    <row r="731" spans="5:8" x14ac:dyDescent="0.25">
      <c r="E731" s="33"/>
      <c r="F731" s="33"/>
      <c r="G731" s="33"/>
      <c r="H731" s="33"/>
    </row>
    <row r="732" spans="5:8" x14ac:dyDescent="0.25">
      <c r="E732" s="33"/>
      <c r="F732" s="33"/>
      <c r="G732" s="33"/>
      <c r="H732" s="33"/>
    </row>
    <row r="733" spans="5:8" x14ac:dyDescent="0.25">
      <c r="E733" s="33"/>
      <c r="F733" s="33"/>
      <c r="G733" s="33"/>
      <c r="H733" s="33"/>
    </row>
    <row r="734" spans="5:8" x14ac:dyDescent="0.25">
      <c r="E734" s="33"/>
      <c r="F734" s="33"/>
      <c r="G734" s="33"/>
      <c r="H734" s="33"/>
    </row>
    <row r="735" spans="5:8" x14ac:dyDescent="0.25">
      <c r="E735" s="33"/>
      <c r="F735" s="33"/>
      <c r="G735" s="33"/>
      <c r="H735" s="33"/>
    </row>
    <row r="736" spans="5:8" x14ac:dyDescent="0.25">
      <c r="E736" s="33"/>
      <c r="F736" s="33"/>
      <c r="G736" s="33"/>
      <c r="H736" s="33"/>
    </row>
    <row r="737" spans="5:8" x14ac:dyDescent="0.25">
      <c r="E737" s="33"/>
      <c r="F737" s="33"/>
      <c r="G737" s="33"/>
      <c r="H737" s="33"/>
    </row>
    <row r="738" spans="5:8" x14ac:dyDescent="0.25">
      <c r="E738" s="33"/>
      <c r="F738" s="33"/>
      <c r="G738" s="33"/>
      <c r="H738" s="33"/>
    </row>
    <row r="739" spans="5:8" x14ac:dyDescent="0.25">
      <c r="E739" s="33"/>
      <c r="F739" s="33"/>
      <c r="G739" s="33"/>
      <c r="H739" s="33"/>
    </row>
    <row r="740" spans="5:8" x14ac:dyDescent="0.25">
      <c r="E740" s="33"/>
      <c r="F740" s="33"/>
      <c r="G740" s="33"/>
      <c r="H740" s="33"/>
    </row>
    <row r="741" spans="5:8" x14ac:dyDescent="0.25">
      <c r="E741" s="33"/>
      <c r="F741" s="33"/>
      <c r="G741" s="33"/>
      <c r="H741" s="33"/>
    </row>
    <row r="742" spans="5:8" x14ac:dyDescent="0.25">
      <c r="E742" s="33"/>
      <c r="F742" s="33"/>
      <c r="G742" s="33"/>
      <c r="H742" s="33"/>
    </row>
    <row r="743" spans="5:8" x14ac:dyDescent="0.25">
      <c r="E743" s="33"/>
      <c r="F743" s="33"/>
      <c r="G743" s="33"/>
      <c r="H743" s="33"/>
    </row>
    <row r="744" spans="5:8" x14ac:dyDescent="0.25">
      <c r="E744" s="33"/>
      <c r="F744" s="33"/>
      <c r="G744" s="33"/>
      <c r="H744" s="33"/>
    </row>
    <row r="745" spans="5:8" x14ac:dyDescent="0.25">
      <c r="E745" s="33"/>
      <c r="F745" s="33"/>
      <c r="G745" s="33"/>
      <c r="H745" s="33"/>
    </row>
    <row r="746" spans="5:8" x14ac:dyDescent="0.25">
      <c r="E746" s="33"/>
      <c r="F746" s="33"/>
      <c r="G746" s="33"/>
      <c r="H746" s="33"/>
    </row>
    <row r="747" spans="5:8" x14ac:dyDescent="0.25">
      <c r="E747" s="33"/>
      <c r="F747" s="33"/>
      <c r="G747" s="33"/>
      <c r="H747" s="33"/>
    </row>
    <row r="748" spans="5:8" x14ac:dyDescent="0.25">
      <c r="E748" s="33"/>
      <c r="F748" s="33"/>
      <c r="G748" s="33"/>
      <c r="H748" s="33"/>
    </row>
    <row r="749" spans="5:8" x14ac:dyDescent="0.25">
      <c r="E749" s="33"/>
      <c r="F749" s="33"/>
      <c r="G749" s="33"/>
      <c r="H749" s="33"/>
    </row>
    <row r="750" spans="5:8" x14ac:dyDescent="0.25">
      <c r="E750" s="33"/>
      <c r="F750" s="33"/>
      <c r="G750" s="33"/>
      <c r="H750" s="33"/>
    </row>
    <row r="751" spans="5:8" x14ac:dyDescent="0.25">
      <c r="E751" s="33"/>
      <c r="F751" s="33"/>
      <c r="G751" s="33"/>
      <c r="H751" s="33"/>
    </row>
    <row r="752" spans="5:8" x14ac:dyDescent="0.25">
      <c r="E752" s="33"/>
      <c r="F752" s="33"/>
      <c r="G752" s="33"/>
      <c r="H752" s="33"/>
    </row>
    <row r="753" spans="5:8" x14ac:dyDescent="0.25">
      <c r="E753" s="33"/>
      <c r="F753" s="33"/>
      <c r="G753" s="33"/>
      <c r="H753" s="33"/>
    </row>
    <row r="754" spans="5:8" x14ac:dyDescent="0.25">
      <c r="E754" s="33"/>
      <c r="F754" s="33"/>
      <c r="G754" s="33"/>
      <c r="H754" s="33"/>
    </row>
    <row r="755" spans="5:8" x14ac:dyDescent="0.25">
      <c r="E755" s="33"/>
      <c r="F755" s="33"/>
      <c r="G755" s="33"/>
      <c r="H755" s="33"/>
    </row>
    <row r="756" spans="5:8" x14ac:dyDescent="0.25">
      <c r="E756" s="33"/>
      <c r="F756" s="33"/>
      <c r="G756" s="33"/>
      <c r="H756" s="33"/>
    </row>
    <row r="757" spans="5:8" x14ac:dyDescent="0.25">
      <c r="E757" s="33"/>
      <c r="F757" s="33"/>
      <c r="G757" s="33"/>
      <c r="H757" s="33"/>
    </row>
    <row r="758" spans="5:8" x14ac:dyDescent="0.25">
      <c r="E758" s="33"/>
      <c r="F758" s="33"/>
      <c r="G758" s="33"/>
      <c r="H758" s="33"/>
    </row>
    <row r="759" spans="5:8" x14ac:dyDescent="0.25">
      <c r="E759" s="33"/>
      <c r="F759" s="33"/>
      <c r="G759" s="33"/>
      <c r="H759" s="33"/>
    </row>
    <row r="760" spans="5:8" x14ac:dyDescent="0.25">
      <c r="E760" s="33"/>
      <c r="F760" s="33"/>
      <c r="G760" s="33"/>
      <c r="H760" s="33"/>
    </row>
    <row r="761" spans="5:8" x14ac:dyDescent="0.25">
      <c r="E761" s="33"/>
      <c r="F761" s="33"/>
      <c r="G761" s="33"/>
      <c r="H761" s="33"/>
    </row>
    <row r="762" spans="5:8" x14ac:dyDescent="0.25">
      <c r="E762" s="33"/>
      <c r="F762" s="33"/>
      <c r="G762" s="33"/>
      <c r="H762" s="33"/>
    </row>
    <row r="763" spans="5:8" x14ac:dyDescent="0.25">
      <c r="E763" s="33"/>
      <c r="F763" s="33"/>
      <c r="G763" s="33"/>
      <c r="H763" s="33"/>
    </row>
    <row r="764" spans="5:8" x14ac:dyDescent="0.25">
      <c r="E764" s="33"/>
      <c r="F764" s="33"/>
      <c r="G764" s="33"/>
      <c r="H764" s="33"/>
    </row>
    <row r="765" spans="5:8" x14ac:dyDescent="0.25">
      <c r="E765" s="33"/>
      <c r="F765" s="33"/>
      <c r="G765" s="33"/>
      <c r="H765" s="33"/>
    </row>
    <row r="766" spans="5:8" x14ac:dyDescent="0.25">
      <c r="E766" s="33"/>
      <c r="F766" s="33"/>
      <c r="G766" s="33"/>
      <c r="H766" s="33"/>
    </row>
    <row r="767" spans="5:8" x14ac:dyDescent="0.25">
      <c r="E767" s="33"/>
      <c r="F767" s="33"/>
      <c r="G767" s="33"/>
      <c r="H767" s="33"/>
    </row>
    <row r="768" spans="5:8" x14ac:dyDescent="0.25">
      <c r="E768" s="33"/>
      <c r="F768" s="33"/>
      <c r="G768" s="33"/>
      <c r="H768" s="33"/>
    </row>
    <row r="769" spans="5:8" x14ac:dyDescent="0.25">
      <c r="E769" s="33"/>
      <c r="F769" s="33"/>
      <c r="G769" s="33"/>
      <c r="H769" s="33"/>
    </row>
    <row r="770" spans="5:8" x14ac:dyDescent="0.25">
      <c r="E770" s="33"/>
      <c r="F770" s="33"/>
      <c r="G770" s="33"/>
      <c r="H770" s="33"/>
    </row>
    <row r="771" spans="5:8" x14ac:dyDescent="0.25">
      <c r="E771" s="33"/>
      <c r="F771" s="33"/>
      <c r="G771" s="33"/>
      <c r="H771" s="33"/>
    </row>
    <row r="772" spans="5:8" x14ac:dyDescent="0.25">
      <c r="E772" s="33"/>
      <c r="F772" s="33"/>
      <c r="G772" s="33"/>
      <c r="H772" s="33"/>
    </row>
    <row r="773" spans="5:8" x14ac:dyDescent="0.25">
      <c r="E773" s="33"/>
      <c r="F773" s="33"/>
      <c r="G773" s="33"/>
      <c r="H773" s="33"/>
    </row>
    <row r="774" spans="5:8" x14ac:dyDescent="0.25">
      <c r="E774" s="33"/>
      <c r="F774" s="33"/>
      <c r="G774" s="33"/>
      <c r="H774" s="33"/>
    </row>
    <row r="775" spans="5:8" x14ac:dyDescent="0.25">
      <c r="E775" s="33"/>
      <c r="F775" s="33"/>
      <c r="G775" s="33"/>
      <c r="H775" s="33"/>
    </row>
    <row r="776" spans="5:8" x14ac:dyDescent="0.25">
      <c r="E776" s="33"/>
      <c r="F776" s="33"/>
      <c r="G776" s="33"/>
      <c r="H776" s="33"/>
    </row>
    <row r="777" spans="5:8" x14ac:dyDescent="0.25">
      <c r="E777" s="33"/>
      <c r="F777" s="33"/>
      <c r="G777" s="33"/>
      <c r="H777" s="33"/>
    </row>
    <row r="778" spans="5:8" x14ac:dyDescent="0.25">
      <c r="E778" s="33"/>
      <c r="F778" s="33"/>
      <c r="G778" s="33"/>
      <c r="H778" s="33"/>
    </row>
    <row r="779" spans="5:8" x14ac:dyDescent="0.25">
      <c r="E779" s="33"/>
      <c r="F779" s="33"/>
      <c r="G779" s="33"/>
      <c r="H779" s="33"/>
    </row>
    <row r="780" spans="5:8" x14ac:dyDescent="0.25">
      <c r="E780" s="33"/>
      <c r="F780" s="33"/>
      <c r="G780" s="33"/>
      <c r="H780" s="33"/>
    </row>
    <row r="781" spans="5:8" x14ac:dyDescent="0.25">
      <c r="E781" s="33"/>
      <c r="F781" s="33"/>
      <c r="G781" s="33"/>
      <c r="H781" s="33"/>
    </row>
    <row r="782" spans="5:8" x14ac:dyDescent="0.25">
      <c r="E782" s="33"/>
      <c r="F782" s="33"/>
      <c r="G782" s="33"/>
      <c r="H782" s="33"/>
    </row>
    <row r="783" spans="5:8" x14ac:dyDescent="0.25">
      <c r="E783" s="33"/>
      <c r="F783" s="33"/>
      <c r="G783" s="33"/>
      <c r="H783" s="33"/>
    </row>
    <row r="784" spans="5:8" x14ac:dyDescent="0.25">
      <c r="E784" s="33"/>
      <c r="F784" s="33"/>
      <c r="G784" s="33"/>
      <c r="H784" s="33"/>
    </row>
    <row r="785" spans="5:8" x14ac:dyDescent="0.25">
      <c r="E785" s="33"/>
      <c r="F785" s="33"/>
      <c r="G785" s="33"/>
      <c r="H785" s="33"/>
    </row>
    <row r="786" spans="5:8" x14ac:dyDescent="0.25">
      <c r="E786" s="33"/>
      <c r="F786" s="33"/>
      <c r="G786" s="33"/>
      <c r="H786" s="33"/>
    </row>
    <row r="787" spans="5:8" x14ac:dyDescent="0.25">
      <c r="E787" s="33"/>
      <c r="F787" s="33"/>
      <c r="G787" s="33"/>
      <c r="H787" s="33"/>
    </row>
    <row r="788" spans="5:8" x14ac:dyDescent="0.25">
      <c r="E788" s="33"/>
      <c r="F788" s="33"/>
      <c r="G788" s="33"/>
      <c r="H788" s="33"/>
    </row>
    <row r="789" spans="5:8" x14ac:dyDescent="0.25">
      <c r="E789" s="33"/>
      <c r="F789" s="33"/>
      <c r="G789" s="33"/>
      <c r="H789" s="33"/>
    </row>
    <row r="790" spans="5:8" x14ac:dyDescent="0.25">
      <c r="E790" s="33"/>
      <c r="F790" s="33"/>
      <c r="G790" s="33"/>
      <c r="H790" s="33"/>
    </row>
    <row r="791" spans="5:8" x14ac:dyDescent="0.25">
      <c r="E791" s="33"/>
      <c r="F791" s="33"/>
      <c r="G791" s="33"/>
      <c r="H791" s="33"/>
    </row>
    <row r="792" spans="5:8" x14ac:dyDescent="0.25">
      <c r="E792" s="33"/>
      <c r="F792" s="33"/>
      <c r="G792" s="33"/>
      <c r="H792" s="33"/>
    </row>
    <row r="793" spans="5:8" x14ac:dyDescent="0.25">
      <c r="E793" s="33"/>
      <c r="F793" s="33"/>
      <c r="G793" s="33"/>
      <c r="H793" s="33"/>
    </row>
    <row r="794" spans="5:8" x14ac:dyDescent="0.25">
      <c r="E794" s="33"/>
      <c r="F794" s="33"/>
      <c r="G794" s="33"/>
      <c r="H794" s="33"/>
    </row>
    <row r="795" spans="5:8" x14ac:dyDescent="0.25">
      <c r="E795" s="33"/>
      <c r="F795" s="33"/>
      <c r="G795" s="33"/>
      <c r="H795" s="33"/>
    </row>
    <row r="796" spans="5:8" x14ac:dyDescent="0.25">
      <c r="E796" s="33"/>
      <c r="F796" s="33"/>
      <c r="G796" s="33"/>
      <c r="H796" s="33"/>
    </row>
    <row r="797" spans="5:8" x14ac:dyDescent="0.25">
      <c r="E797" s="33"/>
      <c r="F797" s="33"/>
      <c r="G797" s="33"/>
      <c r="H797" s="33"/>
    </row>
    <row r="798" spans="5:8" x14ac:dyDescent="0.25">
      <c r="E798" s="33"/>
      <c r="F798" s="33"/>
      <c r="G798" s="33"/>
      <c r="H798" s="33"/>
    </row>
    <row r="799" spans="5:8" x14ac:dyDescent="0.25">
      <c r="E799" s="33"/>
      <c r="F799" s="33"/>
      <c r="G799" s="33"/>
      <c r="H799" s="33"/>
    </row>
    <row r="800" spans="5:8" x14ac:dyDescent="0.25">
      <c r="E800" s="33"/>
      <c r="F800" s="33"/>
      <c r="G800" s="33"/>
      <c r="H800" s="33"/>
    </row>
    <row r="801" spans="5:8" x14ac:dyDescent="0.25">
      <c r="E801" s="33"/>
      <c r="F801" s="33"/>
      <c r="G801" s="33"/>
      <c r="H801" s="33"/>
    </row>
    <row r="802" spans="5:8" x14ac:dyDescent="0.25">
      <c r="E802" s="33"/>
      <c r="F802" s="33"/>
      <c r="G802" s="33"/>
      <c r="H802" s="33"/>
    </row>
    <row r="803" spans="5:8" x14ac:dyDescent="0.25">
      <c r="E803" s="33"/>
      <c r="F803" s="33"/>
      <c r="G803" s="33"/>
      <c r="H803" s="33"/>
    </row>
    <row r="804" spans="5:8" x14ac:dyDescent="0.25">
      <c r="E804" s="33"/>
      <c r="F804" s="33"/>
      <c r="G804" s="33"/>
      <c r="H804" s="33"/>
    </row>
    <row r="805" spans="5:8" x14ac:dyDescent="0.25">
      <c r="E805" s="33"/>
      <c r="F805" s="33"/>
      <c r="G805" s="33"/>
      <c r="H805" s="33"/>
    </row>
    <row r="806" spans="5:8" x14ac:dyDescent="0.25">
      <c r="E806" s="33"/>
      <c r="F806" s="33"/>
      <c r="G806" s="33"/>
      <c r="H806" s="33"/>
    </row>
    <row r="807" spans="5:8" x14ac:dyDescent="0.25">
      <c r="E807" s="33"/>
      <c r="F807" s="33"/>
      <c r="G807" s="33"/>
      <c r="H807" s="33"/>
    </row>
    <row r="808" spans="5:8" x14ac:dyDescent="0.25">
      <c r="E808" s="33"/>
      <c r="F808" s="33"/>
      <c r="G808" s="33"/>
      <c r="H808" s="33"/>
    </row>
    <row r="809" spans="5:8" x14ac:dyDescent="0.25">
      <c r="E809" s="33"/>
      <c r="F809" s="33"/>
      <c r="G809" s="33"/>
      <c r="H809" s="33"/>
    </row>
    <row r="810" spans="5:8" x14ac:dyDescent="0.25">
      <c r="E810" s="33"/>
      <c r="F810" s="33"/>
      <c r="G810" s="33"/>
      <c r="H810" s="33"/>
    </row>
    <row r="811" spans="5:8" x14ac:dyDescent="0.25">
      <c r="E811" s="33"/>
      <c r="F811" s="33"/>
      <c r="G811" s="33"/>
      <c r="H811" s="33"/>
    </row>
    <row r="812" spans="5:8" x14ac:dyDescent="0.25">
      <c r="E812" s="33"/>
      <c r="F812" s="33"/>
      <c r="G812" s="33"/>
      <c r="H812" s="33"/>
    </row>
    <row r="813" spans="5:8" x14ac:dyDescent="0.25">
      <c r="E813" s="33"/>
      <c r="F813" s="33"/>
      <c r="G813" s="33"/>
      <c r="H813" s="33"/>
    </row>
    <row r="814" spans="5:8" x14ac:dyDescent="0.25">
      <c r="E814" s="33"/>
      <c r="F814" s="33"/>
      <c r="G814" s="33"/>
      <c r="H814" s="33"/>
    </row>
    <row r="815" spans="5:8" x14ac:dyDescent="0.25">
      <c r="E815" s="33"/>
      <c r="F815" s="33"/>
      <c r="G815" s="33"/>
      <c r="H815" s="33"/>
    </row>
    <row r="816" spans="5:8" x14ac:dyDescent="0.25">
      <c r="E816" s="33"/>
      <c r="F816" s="33"/>
      <c r="G816" s="33"/>
      <c r="H816" s="33"/>
    </row>
    <row r="817" spans="5:8" x14ac:dyDescent="0.25">
      <c r="E817" s="33"/>
      <c r="F817" s="33"/>
      <c r="G817" s="33"/>
      <c r="H817" s="33"/>
    </row>
    <row r="818" spans="5:8" x14ac:dyDescent="0.25">
      <c r="E818" s="33"/>
      <c r="F818" s="33"/>
      <c r="G818" s="33"/>
      <c r="H818" s="33"/>
    </row>
    <row r="819" spans="5:8" x14ac:dyDescent="0.25">
      <c r="E819" s="33"/>
      <c r="F819" s="33"/>
      <c r="G819" s="33"/>
      <c r="H819" s="33"/>
    </row>
    <row r="820" spans="5:8" x14ac:dyDescent="0.25">
      <c r="E820" s="33"/>
      <c r="F820" s="33"/>
      <c r="G820" s="33"/>
      <c r="H820" s="33"/>
    </row>
    <row r="821" spans="5:8" x14ac:dyDescent="0.25">
      <c r="E821" s="33"/>
      <c r="F821" s="33"/>
      <c r="G821" s="33"/>
      <c r="H821" s="33"/>
    </row>
    <row r="822" spans="5:8" x14ac:dyDescent="0.25">
      <c r="E822" s="33"/>
      <c r="F822" s="33"/>
      <c r="G822" s="33"/>
      <c r="H822" s="33"/>
    </row>
    <row r="823" spans="5:8" x14ac:dyDescent="0.25">
      <c r="E823" s="33"/>
      <c r="F823" s="33"/>
      <c r="G823" s="33"/>
      <c r="H823" s="33"/>
    </row>
    <row r="824" spans="5:8" x14ac:dyDescent="0.25">
      <c r="E824" s="33"/>
      <c r="F824" s="33"/>
      <c r="G824" s="33"/>
      <c r="H824" s="33"/>
    </row>
    <row r="825" spans="5:8" x14ac:dyDescent="0.25">
      <c r="E825" s="33"/>
      <c r="F825" s="33"/>
      <c r="G825" s="33"/>
      <c r="H825" s="33"/>
    </row>
    <row r="826" spans="5:8" x14ac:dyDescent="0.25">
      <c r="E826" s="33"/>
      <c r="F826" s="33"/>
      <c r="G826" s="33"/>
      <c r="H826" s="33"/>
    </row>
    <row r="827" spans="5:8" x14ac:dyDescent="0.25">
      <c r="E827" s="33"/>
      <c r="F827" s="33"/>
      <c r="G827" s="33"/>
      <c r="H827" s="33"/>
    </row>
    <row r="828" spans="5:8" x14ac:dyDescent="0.25">
      <c r="E828" s="33"/>
      <c r="F828" s="33"/>
      <c r="G828" s="33"/>
      <c r="H828" s="33"/>
    </row>
    <row r="829" spans="5:8" x14ac:dyDescent="0.25">
      <c r="E829" s="33"/>
      <c r="F829" s="33"/>
      <c r="G829" s="33"/>
      <c r="H829" s="33"/>
    </row>
    <row r="830" spans="5:8" x14ac:dyDescent="0.25">
      <c r="E830" s="33"/>
      <c r="F830" s="33"/>
      <c r="G830" s="33"/>
      <c r="H830" s="33"/>
    </row>
    <row r="831" spans="5:8" x14ac:dyDescent="0.25">
      <c r="E831" s="33"/>
      <c r="F831" s="33"/>
      <c r="G831" s="33"/>
      <c r="H831" s="33"/>
    </row>
    <row r="832" spans="5:8" x14ac:dyDescent="0.25">
      <c r="E832" s="33"/>
      <c r="F832" s="33"/>
      <c r="G832" s="33"/>
      <c r="H832" s="33"/>
    </row>
    <row r="833" spans="5:8" x14ac:dyDescent="0.25">
      <c r="E833" s="33"/>
      <c r="F833" s="33"/>
      <c r="G833" s="33"/>
      <c r="H833" s="33"/>
    </row>
    <row r="834" spans="5:8" x14ac:dyDescent="0.25">
      <c r="E834" s="33"/>
      <c r="F834" s="33"/>
      <c r="G834" s="33"/>
      <c r="H834" s="33"/>
    </row>
    <row r="835" spans="5:8" x14ac:dyDescent="0.25">
      <c r="E835" s="33"/>
      <c r="F835" s="33"/>
      <c r="G835" s="33"/>
      <c r="H835" s="33"/>
    </row>
    <row r="836" spans="5:8" x14ac:dyDescent="0.25">
      <c r="E836" s="33"/>
      <c r="F836" s="33"/>
      <c r="G836" s="33"/>
      <c r="H836" s="33"/>
    </row>
    <row r="837" spans="5:8" x14ac:dyDescent="0.25">
      <c r="E837" s="33"/>
      <c r="F837" s="33"/>
      <c r="G837" s="33"/>
      <c r="H837" s="33"/>
    </row>
    <row r="838" spans="5:8" x14ac:dyDescent="0.25">
      <c r="E838" s="33"/>
      <c r="F838" s="33"/>
      <c r="G838" s="33"/>
      <c r="H838" s="33"/>
    </row>
    <row r="839" spans="5:8" x14ac:dyDescent="0.25">
      <c r="E839" s="33"/>
      <c r="F839" s="33"/>
      <c r="G839" s="33"/>
      <c r="H839" s="33"/>
    </row>
    <row r="840" spans="5:8" x14ac:dyDescent="0.25">
      <c r="E840" s="33"/>
      <c r="F840" s="33"/>
      <c r="G840" s="33"/>
      <c r="H840" s="33"/>
    </row>
    <row r="841" spans="5:8" x14ac:dyDescent="0.25">
      <c r="E841" s="33"/>
      <c r="F841" s="33"/>
      <c r="G841" s="33"/>
      <c r="H841" s="33"/>
    </row>
    <row r="842" spans="5:8" x14ac:dyDescent="0.25">
      <c r="E842" s="33"/>
      <c r="F842" s="33"/>
      <c r="G842" s="33"/>
      <c r="H842" s="33"/>
    </row>
    <row r="843" spans="5:8" x14ac:dyDescent="0.25">
      <c r="E843" s="33"/>
      <c r="F843" s="33"/>
      <c r="G843" s="33"/>
      <c r="H843" s="33"/>
    </row>
    <row r="844" spans="5:8" x14ac:dyDescent="0.25">
      <c r="E844" s="33"/>
      <c r="F844" s="33"/>
      <c r="G844" s="33"/>
      <c r="H844" s="33"/>
    </row>
    <row r="845" spans="5:8" x14ac:dyDescent="0.25">
      <c r="E845" s="33"/>
      <c r="F845" s="33"/>
      <c r="G845" s="33"/>
      <c r="H845" s="33"/>
    </row>
    <row r="846" spans="5:8" x14ac:dyDescent="0.25">
      <c r="E846" s="33"/>
      <c r="F846" s="33"/>
      <c r="G846" s="33"/>
      <c r="H846" s="33"/>
    </row>
    <row r="847" spans="5:8" x14ac:dyDescent="0.25">
      <c r="E847" s="33"/>
      <c r="F847" s="33"/>
      <c r="G847" s="33"/>
      <c r="H847" s="33"/>
    </row>
    <row r="848" spans="5:8" x14ac:dyDescent="0.25">
      <c r="E848" s="33"/>
      <c r="F848" s="33"/>
      <c r="G848" s="33"/>
      <c r="H848" s="33"/>
    </row>
    <row r="849" spans="5:8" x14ac:dyDescent="0.25">
      <c r="E849" s="33"/>
      <c r="F849" s="33"/>
      <c r="G849" s="33"/>
      <c r="H849" s="33"/>
    </row>
    <row r="850" spans="5:8" x14ac:dyDescent="0.25">
      <c r="E850" s="33"/>
      <c r="F850" s="33"/>
      <c r="G850" s="33"/>
      <c r="H850" s="33"/>
    </row>
    <row r="851" spans="5:8" x14ac:dyDescent="0.25">
      <c r="E851" s="33"/>
      <c r="F851" s="33"/>
      <c r="G851" s="33"/>
      <c r="H851" s="33"/>
    </row>
    <row r="852" spans="5:8" x14ac:dyDescent="0.25">
      <c r="E852" s="33"/>
      <c r="F852" s="33"/>
      <c r="G852" s="33"/>
      <c r="H852" s="33"/>
    </row>
    <row r="853" spans="5:8" x14ac:dyDescent="0.25">
      <c r="E853" s="33"/>
      <c r="F853" s="33"/>
      <c r="G853" s="33"/>
      <c r="H853" s="33"/>
    </row>
    <row r="854" spans="5:8" x14ac:dyDescent="0.25">
      <c r="E854" s="33"/>
      <c r="F854" s="33"/>
      <c r="G854" s="33"/>
      <c r="H854" s="33"/>
    </row>
    <row r="855" spans="5:8" x14ac:dyDescent="0.25">
      <c r="E855" s="33"/>
      <c r="F855" s="33"/>
      <c r="G855" s="33"/>
      <c r="H855" s="33"/>
    </row>
    <row r="856" spans="5:8" x14ac:dyDescent="0.25">
      <c r="E856" s="33"/>
      <c r="F856" s="33"/>
      <c r="G856" s="33"/>
      <c r="H856" s="33"/>
    </row>
    <row r="857" spans="5:8" x14ac:dyDescent="0.25">
      <c r="E857" s="33"/>
      <c r="F857" s="33"/>
      <c r="G857" s="33"/>
      <c r="H857" s="33"/>
    </row>
    <row r="858" spans="5:8" x14ac:dyDescent="0.25">
      <c r="E858" s="33"/>
      <c r="F858" s="33"/>
      <c r="G858" s="33"/>
      <c r="H858" s="33"/>
    </row>
    <row r="859" spans="5:8" x14ac:dyDescent="0.25">
      <c r="E859" s="33"/>
      <c r="F859" s="33"/>
      <c r="G859" s="33"/>
      <c r="H859" s="33"/>
    </row>
    <row r="860" spans="5:8" x14ac:dyDescent="0.25">
      <c r="E860" s="33"/>
      <c r="F860" s="33"/>
      <c r="G860" s="33"/>
      <c r="H860" s="33"/>
    </row>
    <row r="861" spans="5:8" x14ac:dyDescent="0.25">
      <c r="E861" s="33"/>
      <c r="F861" s="33"/>
      <c r="G861" s="33"/>
      <c r="H861" s="33"/>
    </row>
    <row r="862" spans="5:8" x14ac:dyDescent="0.25">
      <c r="E862" s="33"/>
      <c r="F862" s="33"/>
      <c r="G862" s="33"/>
      <c r="H862" s="33"/>
    </row>
    <row r="863" spans="5:8" x14ac:dyDescent="0.25">
      <c r="E863" s="33"/>
      <c r="F863" s="33"/>
      <c r="G863" s="33"/>
      <c r="H863" s="33"/>
    </row>
    <row r="864" spans="5:8" x14ac:dyDescent="0.25">
      <c r="E864" s="33"/>
      <c r="F864" s="33"/>
      <c r="G864" s="33"/>
      <c r="H864" s="33"/>
    </row>
    <row r="865" spans="5:8" x14ac:dyDescent="0.25">
      <c r="E865" s="33"/>
      <c r="F865" s="33"/>
      <c r="G865" s="33"/>
      <c r="H865" s="33"/>
    </row>
    <row r="866" spans="5:8" x14ac:dyDescent="0.25">
      <c r="E866" s="33"/>
      <c r="F866" s="33"/>
      <c r="G866" s="33"/>
      <c r="H866" s="33"/>
    </row>
    <row r="867" spans="5:8" x14ac:dyDescent="0.25">
      <c r="E867" s="33"/>
      <c r="F867" s="33"/>
      <c r="G867" s="33"/>
      <c r="H867" s="33"/>
    </row>
    <row r="868" spans="5:8" x14ac:dyDescent="0.25">
      <c r="E868" s="33"/>
      <c r="F868" s="33"/>
      <c r="G868" s="33"/>
      <c r="H868" s="33"/>
    </row>
    <row r="869" spans="5:8" x14ac:dyDescent="0.25">
      <c r="E869" s="33"/>
      <c r="F869" s="33"/>
      <c r="G869" s="33"/>
      <c r="H869" s="33"/>
    </row>
    <row r="870" spans="5:8" x14ac:dyDescent="0.25">
      <c r="E870" s="33"/>
      <c r="F870" s="33"/>
      <c r="G870" s="33"/>
      <c r="H870" s="33"/>
    </row>
    <row r="871" spans="5:8" x14ac:dyDescent="0.25">
      <c r="E871" s="33"/>
      <c r="F871" s="33"/>
      <c r="G871" s="33"/>
      <c r="H871" s="33"/>
    </row>
    <row r="872" spans="5:8" x14ac:dyDescent="0.25">
      <c r="E872" s="33"/>
      <c r="F872" s="33"/>
      <c r="G872" s="33"/>
      <c r="H872" s="33"/>
    </row>
    <row r="873" spans="5:8" x14ac:dyDescent="0.25">
      <c r="E873" s="33"/>
      <c r="F873" s="33"/>
      <c r="G873" s="33"/>
      <c r="H873" s="33"/>
    </row>
    <row r="874" spans="5:8" x14ac:dyDescent="0.25">
      <c r="E874" s="33"/>
      <c r="F874" s="33"/>
      <c r="G874" s="33"/>
      <c r="H874" s="33"/>
    </row>
    <row r="875" spans="5:8" x14ac:dyDescent="0.25">
      <c r="E875" s="33"/>
      <c r="F875" s="33"/>
      <c r="G875" s="33"/>
      <c r="H875" s="33"/>
    </row>
    <row r="876" spans="5:8" x14ac:dyDescent="0.25">
      <c r="E876" s="33"/>
      <c r="F876" s="33"/>
      <c r="G876" s="33"/>
      <c r="H876" s="33"/>
    </row>
    <row r="877" spans="5:8" x14ac:dyDescent="0.25">
      <c r="E877" s="33"/>
      <c r="F877" s="33"/>
      <c r="G877" s="33"/>
      <c r="H877" s="33"/>
    </row>
    <row r="878" spans="5:8" x14ac:dyDescent="0.25">
      <c r="E878" s="33"/>
      <c r="F878" s="33"/>
      <c r="G878" s="33"/>
      <c r="H878" s="33"/>
    </row>
    <row r="879" spans="5:8" x14ac:dyDescent="0.25">
      <c r="E879" s="33"/>
      <c r="F879" s="33"/>
      <c r="G879" s="33"/>
      <c r="H879" s="33"/>
    </row>
    <row r="880" spans="5:8" x14ac:dyDescent="0.25">
      <c r="E880" s="33"/>
      <c r="F880" s="33"/>
      <c r="G880" s="33"/>
      <c r="H880" s="33"/>
    </row>
    <row r="881" spans="5:8" x14ac:dyDescent="0.25">
      <c r="E881" s="33"/>
      <c r="F881" s="33"/>
      <c r="G881" s="33"/>
      <c r="H881" s="33"/>
    </row>
    <row r="882" spans="5:8" x14ac:dyDescent="0.25">
      <c r="E882" s="33"/>
      <c r="F882" s="33"/>
      <c r="G882" s="33"/>
      <c r="H882" s="33"/>
    </row>
    <row r="883" spans="5:8" x14ac:dyDescent="0.25">
      <c r="E883" s="33"/>
      <c r="F883" s="33"/>
      <c r="G883" s="33"/>
      <c r="H883" s="33"/>
    </row>
    <row r="884" spans="5:8" x14ac:dyDescent="0.25">
      <c r="E884" s="33"/>
      <c r="F884" s="33"/>
      <c r="G884" s="33"/>
      <c r="H884" s="33"/>
    </row>
    <row r="885" spans="5:8" x14ac:dyDescent="0.25">
      <c r="E885" s="33"/>
      <c r="F885" s="33"/>
      <c r="G885" s="33"/>
      <c r="H885" s="33"/>
    </row>
    <row r="886" spans="5:8" x14ac:dyDescent="0.25">
      <c r="E886" s="33"/>
      <c r="F886" s="33"/>
      <c r="G886" s="33"/>
      <c r="H886" s="33"/>
    </row>
    <row r="887" spans="5:8" x14ac:dyDescent="0.25">
      <c r="E887" s="33"/>
      <c r="F887" s="33"/>
      <c r="G887" s="33"/>
      <c r="H887" s="33"/>
    </row>
    <row r="888" spans="5:8" x14ac:dyDescent="0.25">
      <c r="E888" s="33"/>
      <c r="F888" s="33"/>
      <c r="G888" s="33"/>
      <c r="H888" s="33"/>
    </row>
    <row r="889" spans="5:8" x14ac:dyDescent="0.25">
      <c r="E889" s="33"/>
      <c r="F889" s="33"/>
      <c r="G889" s="33"/>
      <c r="H889" s="33"/>
    </row>
    <row r="890" spans="5:8" x14ac:dyDescent="0.25">
      <c r="E890" s="33"/>
      <c r="F890" s="33"/>
      <c r="G890" s="33"/>
      <c r="H890" s="33"/>
    </row>
    <row r="891" spans="5:8" x14ac:dyDescent="0.25">
      <c r="E891" s="33"/>
      <c r="F891" s="33"/>
      <c r="G891" s="33"/>
      <c r="H891" s="33"/>
    </row>
    <row r="892" spans="5:8" x14ac:dyDescent="0.25">
      <c r="E892" s="33"/>
      <c r="F892" s="33"/>
      <c r="G892" s="33"/>
      <c r="H892" s="33"/>
    </row>
    <row r="893" spans="5:8" x14ac:dyDescent="0.25">
      <c r="E893" s="33"/>
      <c r="F893" s="33"/>
      <c r="G893" s="33"/>
      <c r="H893" s="33"/>
    </row>
    <row r="894" spans="5:8" x14ac:dyDescent="0.25">
      <c r="E894" s="33"/>
      <c r="F894" s="33"/>
      <c r="G894" s="33"/>
      <c r="H894" s="33"/>
    </row>
    <row r="895" spans="5:8" x14ac:dyDescent="0.25">
      <c r="E895" s="33"/>
      <c r="F895" s="33"/>
      <c r="G895" s="33"/>
      <c r="H895" s="33"/>
    </row>
    <row r="896" spans="5:8" x14ac:dyDescent="0.25">
      <c r="E896" s="33"/>
      <c r="F896" s="33"/>
      <c r="G896" s="33"/>
      <c r="H896" s="33"/>
    </row>
    <row r="897" spans="5:8" x14ac:dyDescent="0.25">
      <c r="E897" s="33"/>
      <c r="F897" s="33"/>
      <c r="G897" s="33"/>
      <c r="H897" s="33"/>
    </row>
    <row r="898" spans="5:8" x14ac:dyDescent="0.25">
      <c r="E898" s="33"/>
      <c r="F898" s="33"/>
      <c r="G898" s="33"/>
      <c r="H898" s="33"/>
    </row>
    <row r="899" spans="5:8" x14ac:dyDescent="0.25">
      <c r="E899" s="33"/>
      <c r="F899" s="33"/>
      <c r="G899" s="33"/>
      <c r="H899" s="33"/>
    </row>
    <row r="900" spans="5:8" x14ac:dyDescent="0.25">
      <c r="E900" s="33"/>
      <c r="F900" s="33"/>
      <c r="G900" s="33"/>
      <c r="H900" s="33"/>
    </row>
    <row r="901" spans="5:8" x14ac:dyDescent="0.25">
      <c r="E901" s="33"/>
      <c r="F901" s="33"/>
      <c r="G901" s="33"/>
      <c r="H901" s="33"/>
    </row>
    <row r="902" spans="5:8" x14ac:dyDescent="0.25">
      <c r="E902" s="33"/>
      <c r="F902" s="33"/>
      <c r="G902" s="33"/>
      <c r="H902" s="33"/>
    </row>
    <row r="903" spans="5:8" x14ac:dyDescent="0.25">
      <c r="E903" s="33"/>
      <c r="F903" s="33"/>
      <c r="G903" s="33"/>
      <c r="H903" s="33"/>
    </row>
    <row r="904" spans="5:8" x14ac:dyDescent="0.25">
      <c r="E904" s="33"/>
      <c r="F904" s="33"/>
      <c r="G904" s="33"/>
      <c r="H904" s="33"/>
    </row>
    <row r="905" spans="5:8" x14ac:dyDescent="0.25">
      <c r="E905" s="33"/>
      <c r="F905" s="33"/>
      <c r="G905" s="33"/>
      <c r="H905" s="33"/>
    </row>
    <row r="906" spans="5:8" x14ac:dyDescent="0.25">
      <c r="E906" s="33"/>
      <c r="F906" s="33"/>
      <c r="G906" s="33"/>
      <c r="H906" s="33"/>
    </row>
    <row r="907" spans="5:8" x14ac:dyDescent="0.25">
      <c r="E907" s="33"/>
      <c r="F907" s="33"/>
      <c r="G907" s="33"/>
      <c r="H907" s="33"/>
    </row>
    <row r="908" spans="5:8" x14ac:dyDescent="0.25">
      <c r="E908" s="33"/>
      <c r="F908" s="33"/>
      <c r="G908" s="33"/>
      <c r="H908" s="33"/>
    </row>
    <row r="909" spans="5:8" x14ac:dyDescent="0.25">
      <c r="E909" s="33"/>
      <c r="F909" s="33"/>
      <c r="G909" s="33"/>
      <c r="H909" s="33"/>
    </row>
    <row r="910" spans="5:8" x14ac:dyDescent="0.25">
      <c r="E910" s="33"/>
      <c r="F910" s="33"/>
      <c r="G910" s="33"/>
      <c r="H910" s="33"/>
    </row>
    <row r="911" spans="5:8" x14ac:dyDescent="0.25">
      <c r="E911" s="33"/>
      <c r="F911" s="33"/>
      <c r="G911" s="33"/>
      <c r="H911" s="33"/>
    </row>
    <row r="912" spans="5:8" x14ac:dyDescent="0.25">
      <c r="E912" s="33"/>
      <c r="F912" s="33"/>
      <c r="G912" s="33"/>
      <c r="H912" s="33"/>
    </row>
    <row r="913" spans="5:8" x14ac:dyDescent="0.25">
      <c r="E913" s="33"/>
      <c r="F913" s="33"/>
      <c r="G913" s="33"/>
      <c r="H913" s="33"/>
    </row>
    <row r="914" spans="5:8" x14ac:dyDescent="0.25">
      <c r="E914" s="33"/>
      <c r="F914" s="33"/>
      <c r="G914" s="33"/>
      <c r="H914" s="33"/>
    </row>
    <row r="915" spans="5:8" x14ac:dyDescent="0.25">
      <c r="E915" s="33"/>
      <c r="F915" s="33"/>
      <c r="G915" s="33"/>
      <c r="H915" s="33"/>
    </row>
    <row r="916" spans="5:8" x14ac:dyDescent="0.25">
      <c r="E916" s="33"/>
      <c r="F916" s="33"/>
      <c r="G916" s="33"/>
      <c r="H916" s="33"/>
    </row>
    <row r="917" spans="5:8" x14ac:dyDescent="0.25">
      <c r="E917" s="33"/>
      <c r="F917" s="33"/>
      <c r="G917" s="33"/>
      <c r="H917" s="33"/>
    </row>
    <row r="918" spans="5:8" x14ac:dyDescent="0.25">
      <c r="E918" s="33"/>
      <c r="F918" s="33"/>
      <c r="G918" s="33"/>
      <c r="H918" s="33"/>
    </row>
    <row r="919" spans="5:8" x14ac:dyDescent="0.25">
      <c r="E919" s="33"/>
      <c r="F919" s="33"/>
      <c r="G919" s="33"/>
      <c r="H919" s="33"/>
    </row>
    <row r="920" spans="5:8" x14ac:dyDescent="0.25">
      <c r="E920" s="33"/>
      <c r="F920" s="33"/>
      <c r="G920" s="33"/>
      <c r="H920" s="33"/>
    </row>
    <row r="921" spans="5:8" x14ac:dyDescent="0.25">
      <c r="E921" s="33"/>
      <c r="F921" s="33"/>
      <c r="G921" s="33"/>
      <c r="H921" s="33"/>
    </row>
    <row r="922" spans="5:8" x14ac:dyDescent="0.25">
      <c r="E922" s="33"/>
      <c r="F922" s="33"/>
      <c r="G922" s="33"/>
      <c r="H922" s="33"/>
    </row>
    <row r="923" spans="5:8" x14ac:dyDescent="0.25">
      <c r="E923" s="33"/>
      <c r="F923" s="33"/>
      <c r="G923" s="33"/>
      <c r="H923" s="33"/>
    </row>
    <row r="924" spans="5:8" x14ac:dyDescent="0.25">
      <c r="E924" s="33"/>
      <c r="F924" s="33"/>
      <c r="G924" s="33"/>
      <c r="H924" s="33"/>
    </row>
    <row r="925" spans="5:8" x14ac:dyDescent="0.25">
      <c r="E925" s="33"/>
      <c r="F925" s="33"/>
      <c r="G925" s="33"/>
      <c r="H925" s="33"/>
    </row>
    <row r="926" spans="5:8" x14ac:dyDescent="0.25">
      <c r="E926" s="33"/>
      <c r="F926" s="33"/>
      <c r="G926" s="33"/>
      <c r="H926" s="33"/>
    </row>
    <row r="927" spans="5:8" x14ac:dyDescent="0.25">
      <c r="E927" s="33"/>
      <c r="F927" s="33"/>
      <c r="G927" s="33"/>
      <c r="H927" s="33"/>
    </row>
    <row r="928" spans="5:8" x14ac:dyDescent="0.25">
      <c r="E928" s="33"/>
      <c r="F928" s="33"/>
      <c r="G928" s="33"/>
      <c r="H928" s="33"/>
    </row>
    <row r="929" spans="5:8" x14ac:dyDescent="0.25">
      <c r="E929" s="33"/>
      <c r="F929" s="33"/>
      <c r="G929" s="33"/>
      <c r="H929" s="33"/>
    </row>
    <row r="930" spans="5:8" x14ac:dyDescent="0.25">
      <c r="E930" s="33"/>
      <c r="F930" s="33"/>
      <c r="G930" s="33"/>
      <c r="H930" s="33"/>
    </row>
    <row r="931" spans="5:8" x14ac:dyDescent="0.25">
      <c r="E931" s="33"/>
      <c r="F931" s="33"/>
      <c r="G931" s="33"/>
      <c r="H931" s="33"/>
    </row>
    <row r="932" spans="5:8" x14ac:dyDescent="0.25">
      <c r="E932" s="33"/>
      <c r="F932" s="33"/>
      <c r="G932" s="33"/>
      <c r="H932" s="33"/>
    </row>
    <row r="933" spans="5:8" x14ac:dyDescent="0.25">
      <c r="E933" s="33"/>
      <c r="F933" s="33"/>
      <c r="G933" s="33"/>
      <c r="H933" s="33"/>
    </row>
    <row r="934" spans="5:8" x14ac:dyDescent="0.25">
      <c r="E934" s="33"/>
      <c r="F934" s="33"/>
      <c r="G934" s="33"/>
      <c r="H934" s="33"/>
    </row>
    <row r="935" spans="5:8" x14ac:dyDescent="0.25">
      <c r="E935" s="33"/>
      <c r="F935" s="33"/>
      <c r="G935" s="33"/>
      <c r="H935" s="33"/>
    </row>
    <row r="936" spans="5:8" x14ac:dyDescent="0.25">
      <c r="E936" s="33"/>
      <c r="F936" s="33"/>
      <c r="G936" s="33"/>
      <c r="H936" s="33"/>
    </row>
    <row r="937" spans="5:8" x14ac:dyDescent="0.25">
      <c r="E937" s="33"/>
      <c r="F937" s="33"/>
      <c r="G937" s="33"/>
      <c r="H937" s="33"/>
    </row>
    <row r="938" spans="5:8" x14ac:dyDescent="0.25">
      <c r="E938" s="33"/>
      <c r="F938" s="33"/>
      <c r="G938" s="33"/>
      <c r="H938" s="33"/>
    </row>
    <row r="939" spans="5:8" x14ac:dyDescent="0.25">
      <c r="E939" s="33"/>
      <c r="F939" s="33"/>
      <c r="G939" s="33"/>
      <c r="H939" s="33"/>
    </row>
    <row r="940" spans="5:8" x14ac:dyDescent="0.25">
      <c r="E940" s="33"/>
      <c r="F940" s="33"/>
      <c r="G940" s="33"/>
      <c r="H940" s="33"/>
    </row>
    <row r="941" spans="5:8" x14ac:dyDescent="0.25">
      <c r="E941" s="33"/>
      <c r="F941" s="33"/>
      <c r="G941" s="33"/>
      <c r="H941" s="33"/>
    </row>
    <row r="942" spans="5:8" x14ac:dyDescent="0.25">
      <c r="E942" s="33"/>
      <c r="F942" s="33"/>
      <c r="G942" s="33"/>
      <c r="H942" s="33"/>
    </row>
    <row r="943" spans="5:8" x14ac:dyDescent="0.25">
      <c r="E943" s="33"/>
      <c r="F943" s="33"/>
      <c r="G943" s="33"/>
      <c r="H943" s="33"/>
    </row>
    <row r="944" spans="5:8" x14ac:dyDescent="0.25">
      <c r="E944" s="33"/>
      <c r="F944" s="33"/>
      <c r="G944" s="33"/>
      <c r="H944" s="33"/>
    </row>
    <row r="945" spans="5:8" x14ac:dyDescent="0.25">
      <c r="E945" s="33"/>
      <c r="F945" s="33"/>
      <c r="G945" s="33"/>
      <c r="H945" s="33"/>
    </row>
    <row r="946" spans="5:8" x14ac:dyDescent="0.25">
      <c r="E946" s="33"/>
      <c r="F946" s="33"/>
      <c r="G946" s="33"/>
      <c r="H946" s="33"/>
    </row>
    <row r="947" spans="5:8" x14ac:dyDescent="0.25">
      <c r="E947" s="33"/>
      <c r="F947" s="33"/>
      <c r="G947" s="33"/>
      <c r="H947" s="33"/>
    </row>
    <row r="948" spans="5:8" x14ac:dyDescent="0.25">
      <c r="E948" s="33"/>
      <c r="F948" s="33"/>
      <c r="G948" s="33"/>
      <c r="H948" s="33"/>
    </row>
    <row r="949" spans="5:8" x14ac:dyDescent="0.25">
      <c r="E949" s="33"/>
      <c r="F949" s="33"/>
      <c r="G949" s="33"/>
      <c r="H949" s="33"/>
    </row>
    <row r="950" spans="5:8" x14ac:dyDescent="0.25">
      <c r="E950" s="33"/>
      <c r="F950" s="33"/>
      <c r="G950" s="33"/>
      <c r="H950" s="33"/>
    </row>
    <row r="951" spans="5:8" x14ac:dyDescent="0.25">
      <c r="E951" s="33"/>
      <c r="F951" s="33"/>
      <c r="G951" s="33"/>
      <c r="H951" s="33"/>
    </row>
    <row r="952" spans="5:8" x14ac:dyDescent="0.25">
      <c r="E952" s="33"/>
      <c r="F952" s="33"/>
      <c r="G952" s="33"/>
      <c r="H952" s="33"/>
    </row>
    <row r="953" spans="5:8" x14ac:dyDescent="0.25">
      <c r="E953" s="33"/>
      <c r="F953" s="33"/>
      <c r="G953" s="33"/>
      <c r="H953" s="33"/>
    </row>
    <row r="954" spans="5:8" x14ac:dyDescent="0.25">
      <c r="E954" s="33"/>
      <c r="F954" s="33"/>
      <c r="G954" s="33"/>
      <c r="H954" s="33"/>
    </row>
    <row r="955" spans="5:8" x14ac:dyDescent="0.25">
      <c r="E955" s="33"/>
      <c r="F955" s="33"/>
      <c r="G955" s="33"/>
      <c r="H955" s="33"/>
    </row>
    <row r="956" spans="5:8" x14ac:dyDescent="0.25">
      <c r="E956" s="33"/>
      <c r="F956" s="33"/>
      <c r="G956" s="33"/>
      <c r="H956" s="33"/>
    </row>
    <row r="957" spans="5:8" x14ac:dyDescent="0.25">
      <c r="E957" s="33"/>
      <c r="F957" s="33"/>
      <c r="G957" s="33"/>
      <c r="H957" s="33"/>
    </row>
    <row r="958" spans="5:8" x14ac:dyDescent="0.25">
      <c r="E958" s="33"/>
      <c r="F958" s="33"/>
      <c r="G958" s="33"/>
      <c r="H958" s="33"/>
    </row>
    <row r="959" spans="5:8" x14ac:dyDescent="0.25">
      <c r="E959" s="33"/>
      <c r="F959" s="33"/>
      <c r="G959" s="33"/>
      <c r="H959" s="33"/>
    </row>
    <row r="960" spans="5:8" x14ac:dyDescent="0.25">
      <c r="E960" s="33"/>
      <c r="F960" s="33"/>
      <c r="G960" s="33"/>
      <c r="H960" s="33"/>
    </row>
    <row r="961" spans="5:8" x14ac:dyDescent="0.25">
      <c r="E961" s="33"/>
      <c r="F961" s="33"/>
      <c r="G961" s="33"/>
      <c r="H961" s="33"/>
    </row>
    <row r="962" spans="5:8" x14ac:dyDescent="0.25">
      <c r="E962" s="33"/>
      <c r="F962" s="33"/>
      <c r="G962" s="33"/>
      <c r="H962" s="33"/>
    </row>
    <row r="963" spans="5:8" x14ac:dyDescent="0.25">
      <c r="E963" s="33"/>
      <c r="F963" s="33"/>
      <c r="G963" s="33"/>
      <c r="H963" s="33"/>
    </row>
    <row r="964" spans="5:8" x14ac:dyDescent="0.25">
      <c r="E964" s="33"/>
      <c r="F964" s="33"/>
      <c r="G964" s="33"/>
      <c r="H964" s="33"/>
    </row>
    <row r="965" spans="5:8" x14ac:dyDescent="0.25">
      <c r="E965" s="33"/>
      <c r="F965" s="33"/>
      <c r="G965" s="33"/>
      <c r="H965" s="33"/>
    </row>
    <row r="966" spans="5:8" x14ac:dyDescent="0.25">
      <c r="E966" s="33"/>
      <c r="F966" s="33"/>
      <c r="G966" s="33"/>
      <c r="H966" s="33"/>
    </row>
    <row r="967" spans="5:8" x14ac:dyDescent="0.25">
      <c r="E967" s="33"/>
      <c r="F967" s="33"/>
      <c r="G967" s="33"/>
      <c r="H967" s="33"/>
    </row>
    <row r="968" spans="5:8" x14ac:dyDescent="0.25">
      <c r="E968" s="33"/>
      <c r="F968" s="33"/>
      <c r="G968" s="33"/>
      <c r="H968" s="33"/>
    </row>
    <row r="969" spans="5:8" x14ac:dyDescent="0.25">
      <c r="E969" s="33"/>
      <c r="F969" s="33"/>
      <c r="G969" s="33"/>
      <c r="H969" s="33"/>
    </row>
    <row r="970" spans="5:8" x14ac:dyDescent="0.25">
      <c r="E970" s="33"/>
      <c r="F970" s="33"/>
      <c r="G970" s="33"/>
      <c r="H970" s="33"/>
    </row>
    <row r="971" spans="5:8" x14ac:dyDescent="0.25">
      <c r="E971" s="33"/>
      <c r="F971" s="33"/>
      <c r="G971" s="33"/>
      <c r="H971" s="33"/>
    </row>
    <row r="972" spans="5:8" x14ac:dyDescent="0.25">
      <c r="E972" s="33"/>
      <c r="F972" s="33"/>
      <c r="G972" s="33"/>
      <c r="H972" s="33"/>
    </row>
    <row r="973" spans="5:8" x14ac:dyDescent="0.25">
      <c r="E973" s="33"/>
      <c r="F973" s="33"/>
      <c r="G973" s="33"/>
      <c r="H973" s="33"/>
    </row>
    <row r="974" spans="5:8" x14ac:dyDescent="0.25">
      <c r="E974" s="33"/>
      <c r="F974" s="33"/>
      <c r="G974" s="33"/>
      <c r="H974" s="33"/>
    </row>
    <row r="975" spans="5:8" x14ac:dyDescent="0.25">
      <c r="E975" s="33"/>
      <c r="F975" s="33"/>
      <c r="G975" s="33"/>
      <c r="H975" s="33"/>
    </row>
    <row r="976" spans="5:8" x14ac:dyDescent="0.25">
      <c r="E976" s="33"/>
      <c r="F976" s="33"/>
      <c r="G976" s="33"/>
      <c r="H976" s="33"/>
    </row>
    <row r="977" spans="5:8" x14ac:dyDescent="0.25">
      <c r="E977" s="33"/>
      <c r="F977" s="33"/>
      <c r="G977" s="33"/>
      <c r="H977" s="33"/>
    </row>
    <row r="978" spans="5:8" x14ac:dyDescent="0.25">
      <c r="E978" s="33"/>
      <c r="F978" s="33"/>
      <c r="G978" s="33"/>
      <c r="H978" s="33"/>
    </row>
    <row r="979" spans="5:8" x14ac:dyDescent="0.25">
      <c r="E979" s="33"/>
      <c r="F979" s="33"/>
      <c r="G979" s="33"/>
      <c r="H979" s="33"/>
    </row>
    <row r="980" spans="5:8" x14ac:dyDescent="0.25">
      <c r="E980" s="33"/>
      <c r="F980" s="33"/>
      <c r="G980" s="33"/>
      <c r="H980" s="33"/>
    </row>
    <row r="981" spans="5:8" x14ac:dyDescent="0.25">
      <c r="E981" s="33"/>
      <c r="F981" s="33"/>
      <c r="G981" s="33"/>
      <c r="H981" s="33"/>
    </row>
    <row r="982" spans="5:8" x14ac:dyDescent="0.25">
      <c r="E982" s="33"/>
      <c r="F982" s="33"/>
      <c r="G982" s="33"/>
      <c r="H982" s="33"/>
    </row>
    <row r="983" spans="5:8" x14ac:dyDescent="0.25">
      <c r="E983" s="33"/>
      <c r="F983" s="33"/>
      <c r="G983" s="33"/>
      <c r="H983" s="33"/>
    </row>
    <row r="984" spans="5:8" x14ac:dyDescent="0.25">
      <c r="E984" s="33"/>
      <c r="F984" s="33"/>
      <c r="G984" s="33"/>
      <c r="H984" s="33"/>
    </row>
    <row r="985" spans="5:8" x14ac:dyDescent="0.25">
      <c r="E985" s="33"/>
      <c r="F985" s="33"/>
      <c r="G985" s="33"/>
      <c r="H985" s="33"/>
    </row>
    <row r="986" spans="5:8" x14ac:dyDescent="0.25">
      <c r="E986" s="33"/>
      <c r="F986" s="33"/>
      <c r="G986" s="33"/>
      <c r="H986" s="33"/>
    </row>
    <row r="987" spans="5:8" x14ac:dyDescent="0.25">
      <c r="E987" s="33"/>
      <c r="F987" s="33"/>
      <c r="G987" s="33"/>
      <c r="H987" s="33"/>
    </row>
    <row r="988" spans="5:8" x14ac:dyDescent="0.25">
      <c r="E988" s="33"/>
      <c r="F988" s="33"/>
      <c r="G988" s="33"/>
      <c r="H988" s="33"/>
    </row>
    <row r="989" spans="5:8" x14ac:dyDescent="0.25">
      <c r="E989" s="33"/>
      <c r="F989" s="33"/>
      <c r="G989" s="33"/>
      <c r="H989" s="33"/>
    </row>
    <row r="990" spans="5:8" x14ac:dyDescent="0.25">
      <c r="E990" s="33"/>
      <c r="F990" s="33"/>
      <c r="G990" s="33"/>
      <c r="H990" s="33"/>
    </row>
    <row r="991" spans="5:8" x14ac:dyDescent="0.25">
      <c r="E991" s="33"/>
      <c r="F991" s="33"/>
      <c r="G991" s="33"/>
      <c r="H991" s="33"/>
    </row>
    <row r="992" spans="5:8" x14ac:dyDescent="0.25">
      <c r="E992" s="33"/>
      <c r="F992" s="33"/>
      <c r="G992" s="33"/>
      <c r="H992" s="33"/>
    </row>
    <row r="993" spans="5:8" x14ac:dyDescent="0.25">
      <c r="E993" s="33"/>
      <c r="F993" s="33"/>
      <c r="G993" s="33"/>
      <c r="H993" s="33"/>
    </row>
    <row r="994" spans="5:8" x14ac:dyDescent="0.25">
      <c r="E994" s="33"/>
      <c r="F994" s="33"/>
      <c r="G994" s="33"/>
      <c r="H994" s="33"/>
    </row>
    <row r="995" spans="5:8" x14ac:dyDescent="0.25">
      <c r="E995" s="33"/>
      <c r="F995" s="33"/>
      <c r="G995" s="33"/>
      <c r="H995" s="33"/>
    </row>
    <row r="996" spans="5:8" x14ac:dyDescent="0.25">
      <c r="E996" s="33"/>
      <c r="F996" s="33"/>
      <c r="G996" s="33"/>
      <c r="H996" s="33"/>
    </row>
    <row r="997" spans="5:8" x14ac:dyDescent="0.25">
      <c r="E997" s="33"/>
      <c r="F997" s="33"/>
      <c r="G997" s="33"/>
      <c r="H997" s="33"/>
    </row>
    <row r="998" spans="5:8" x14ac:dyDescent="0.25">
      <c r="E998" s="33"/>
      <c r="F998" s="33"/>
      <c r="G998" s="33"/>
      <c r="H998" s="33"/>
    </row>
    <row r="999" spans="5:8" x14ac:dyDescent="0.25">
      <c r="E999" s="33"/>
      <c r="F999" s="33"/>
      <c r="G999" s="33"/>
      <c r="H999" s="33"/>
    </row>
    <row r="1000" spans="5:8" x14ac:dyDescent="0.25">
      <c r="E1000" s="33"/>
      <c r="F1000" s="33"/>
      <c r="G1000" s="33"/>
      <c r="H1000" s="33"/>
    </row>
    <row r="1001" spans="5:8" x14ac:dyDescent="0.25">
      <c r="E1001" s="33"/>
      <c r="F1001" s="33"/>
      <c r="G1001" s="33"/>
      <c r="H1001" s="33"/>
    </row>
    <row r="1002" spans="5:8" x14ac:dyDescent="0.25">
      <c r="E1002" s="33"/>
      <c r="F1002" s="33"/>
      <c r="G1002" s="33"/>
      <c r="H1002" s="33"/>
    </row>
    <row r="1003" spans="5:8" x14ac:dyDescent="0.25">
      <c r="E1003" s="33"/>
      <c r="F1003" s="33"/>
      <c r="G1003" s="33"/>
      <c r="H1003" s="33"/>
    </row>
    <row r="1004" spans="5:8" x14ac:dyDescent="0.25">
      <c r="E1004" s="33"/>
      <c r="F1004" s="33"/>
      <c r="G1004" s="33"/>
      <c r="H1004" s="33"/>
    </row>
    <row r="1005" spans="5:8" x14ac:dyDescent="0.25">
      <c r="E1005" s="33"/>
      <c r="F1005" s="33"/>
      <c r="G1005" s="33"/>
      <c r="H1005" s="33"/>
    </row>
    <row r="1006" spans="5:8" x14ac:dyDescent="0.25">
      <c r="E1006" s="33"/>
      <c r="F1006" s="33"/>
      <c r="G1006" s="33"/>
      <c r="H1006" s="33"/>
    </row>
    <row r="1007" spans="5:8" x14ac:dyDescent="0.25">
      <c r="E1007" s="33"/>
      <c r="F1007" s="33"/>
      <c r="G1007" s="33"/>
      <c r="H1007" s="33"/>
    </row>
    <row r="1008" spans="5:8" x14ac:dyDescent="0.25">
      <c r="E1008" s="33"/>
      <c r="F1008" s="33"/>
      <c r="G1008" s="33"/>
      <c r="H1008" s="33"/>
    </row>
    <row r="1009" spans="5:8" x14ac:dyDescent="0.25">
      <c r="E1009" s="33"/>
      <c r="F1009" s="33"/>
      <c r="G1009" s="33"/>
      <c r="H1009" s="33"/>
    </row>
    <row r="1010" spans="5:8" x14ac:dyDescent="0.25">
      <c r="E1010" s="33"/>
      <c r="F1010" s="33"/>
      <c r="G1010" s="33"/>
      <c r="H1010" s="33"/>
    </row>
    <row r="1011" spans="5:8" x14ac:dyDescent="0.25">
      <c r="E1011" s="33"/>
      <c r="F1011" s="33"/>
      <c r="G1011" s="33"/>
      <c r="H1011" s="33"/>
    </row>
    <row r="1012" spans="5:8" x14ac:dyDescent="0.25">
      <c r="E1012" s="33"/>
      <c r="F1012" s="33"/>
      <c r="G1012" s="33"/>
      <c r="H1012" s="33"/>
    </row>
    <row r="1013" spans="5:8" x14ac:dyDescent="0.25">
      <c r="E1013" s="33"/>
      <c r="F1013" s="33"/>
      <c r="G1013" s="33"/>
      <c r="H1013" s="33"/>
    </row>
    <row r="1014" spans="5:8" x14ac:dyDescent="0.25">
      <c r="E1014" s="33"/>
      <c r="F1014" s="33"/>
      <c r="G1014" s="33"/>
      <c r="H1014" s="33"/>
    </row>
    <row r="1015" spans="5:8" x14ac:dyDescent="0.25">
      <c r="E1015" s="33"/>
      <c r="F1015" s="33"/>
      <c r="G1015" s="33"/>
      <c r="H1015" s="33"/>
    </row>
    <row r="1016" spans="5:8" x14ac:dyDescent="0.25">
      <c r="E1016" s="33"/>
      <c r="F1016" s="33"/>
      <c r="G1016" s="33"/>
      <c r="H1016" s="33"/>
    </row>
    <row r="1017" spans="5:8" x14ac:dyDescent="0.25">
      <c r="E1017" s="33"/>
      <c r="F1017" s="33"/>
      <c r="G1017" s="33"/>
      <c r="H1017" s="33"/>
    </row>
    <row r="1018" spans="5:8" x14ac:dyDescent="0.25">
      <c r="E1018" s="33"/>
      <c r="F1018" s="33"/>
      <c r="G1018" s="33"/>
      <c r="H1018" s="33"/>
    </row>
    <row r="1019" spans="5:8" x14ac:dyDescent="0.25">
      <c r="E1019" s="33"/>
      <c r="F1019" s="33"/>
      <c r="G1019" s="33"/>
      <c r="H1019" s="33"/>
    </row>
    <row r="1020" spans="5:8" x14ac:dyDescent="0.25">
      <c r="E1020" s="33"/>
      <c r="F1020" s="33"/>
      <c r="G1020" s="33"/>
      <c r="H1020" s="33"/>
    </row>
    <row r="1021" spans="5:8" x14ac:dyDescent="0.25">
      <c r="E1021" s="33"/>
      <c r="F1021" s="33"/>
      <c r="G1021" s="33"/>
      <c r="H1021" s="33"/>
    </row>
    <row r="1022" spans="5:8" x14ac:dyDescent="0.25">
      <c r="E1022" s="33"/>
      <c r="F1022" s="33"/>
      <c r="G1022" s="33"/>
      <c r="H1022" s="33"/>
    </row>
    <row r="1023" spans="5:8" x14ac:dyDescent="0.25">
      <c r="E1023" s="33"/>
      <c r="F1023" s="33"/>
      <c r="G1023" s="33"/>
      <c r="H1023" s="33"/>
    </row>
    <row r="1024" spans="5:8" x14ac:dyDescent="0.25">
      <c r="E1024" s="33"/>
      <c r="F1024" s="33"/>
      <c r="G1024" s="33"/>
      <c r="H1024" s="33"/>
    </row>
    <row r="1025" spans="5:8" x14ac:dyDescent="0.25">
      <c r="E1025" s="33"/>
      <c r="F1025" s="33"/>
      <c r="G1025" s="33"/>
      <c r="H1025" s="33"/>
    </row>
    <row r="1026" spans="5:8" x14ac:dyDescent="0.25">
      <c r="E1026" s="33"/>
      <c r="F1026" s="33"/>
      <c r="G1026" s="33"/>
      <c r="H1026" s="33"/>
    </row>
    <row r="1027" spans="5:8" x14ac:dyDescent="0.25">
      <c r="E1027" s="33"/>
      <c r="F1027" s="33"/>
      <c r="G1027" s="33"/>
      <c r="H1027" s="33"/>
    </row>
    <row r="1028" spans="5:8" x14ac:dyDescent="0.25">
      <c r="E1028" s="33"/>
      <c r="F1028" s="33"/>
      <c r="G1028" s="33"/>
      <c r="H1028" s="33"/>
    </row>
    <row r="1029" spans="5:8" x14ac:dyDescent="0.25">
      <c r="E1029" s="33"/>
      <c r="F1029" s="33"/>
      <c r="G1029" s="33"/>
      <c r="H1029" s="33"/>
    </row>
    <row r="1030" spans="5:8" x14ac:dyDescent="0.25">
      <c r="E1030" s="33"/>
      <c r="F1030" s="33"/>
      <c r="G1030" s="33"/>
      <c r="H1030" s="33"/>
    </row>
    <row r="1031" spans="5:8" x14ac:dyDescent="0.25">
      <c r="E1031" s="33"/>
      <c r="F1031" s="33"/>
      <c r="G1031" s="33"/>
      <c r="H1031" s="33"/>
    </row>
    <row r="1032" spans="5:8" x14ac:dyDescent="0.25">
      <c r="E1032" s="33"/>
      <c r="F1032" s="33"/>
      <c r="G1032" s="33"/>
      <c r="H1032" s="33"/>
    </row>
  </sheetData>
  <phoneticPr fontId="6"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332"/>
  <sheetViews>
    <sheetView topLeftCell="I1" workbookViewId="0">
      <pane ySplit="1" topLeftCell="A264" activePane="bottomLeft" state="frozen"/>
      <selection pane="bottomLeft" activeCell="K125" sqref="K125"/>
    </sheetView>
  </sheetViews>
  <sheetFormatPr defaultRowHeight="15" x14ac:dyDescent="0.25"/>
  <cols>
    <col min="2" max="2" width="28.85546875" customWidth="1"/>
    <col min="4" max="4" width="24.42578125" bestFit="1" customWidth="1"/>
    <col min="5" max="5" width="8.28515625" customWidth="1"/>
    <col min="6" max="6" width="24.42578125" bestFit="1" customWidth="1"/>
    <col min="7" max="7" width="10" customWidth="1"/>
    <col min="8" max="8" width="25.28515625" bestFit="1" customWidth="1"/>
    <col min="11" max="11" width="25.5703125" bestFit="1" customWidth="1"/>
    <col min="13" max="13" width="26.5703125" customWidth="1"/>
    <col min="15" max="15" width="26.42578125" customWidth="1"/>
    <col min="16" max="16" width="11" customWidth="1"/>
    <col min="17" max="17" width="26.42578125" bestFit="1" customWidth="1"/>
  </cols>
  <sheetData>
    <row r="1" spans="1:18" x14ac:dyDescent="0.25">
      <c r="A1" t="s">
        <v>1074</v>
      </c>
      <c r="B1" t="s">
        <v>1525</v>
      </c>
      <c r="C1" t="s">
        <v>1213</v>
      </c>
      <c r="D1" t="s">
        <v>875</v>
      </c>
      <c r="E1" t="s">
        <v>1213</v>
      </c>
      <c r="F1" t="s">
        <v>966</v>
      </c>
      <c r="G1" t="s">
        <v>1213</v>
      </c>
      <c r="H1" s="2" t="s">
        <v>967</v>
      </c>
      <c r="I1" s="2" t="s">
        <v>1213</v>
      </c>
      <c r="J1" t="s">
        <v>173</v>
      </c>
      <c r="K1" t="s">
        <v>1525</v>
      </c>
      <c r="L1" t="s">
        <v>1213</v>
      </c>
      <c r="M1" t="s">
        <v>875</v>
      </c>
      <c r="N1" t="s">
        <v>1213</v>
      </c>
      <c r="O1" t="s">
        <v>966</v>
      </c>
      <c r="P1" t="s">
        <v>1213</v>
      </c>
      <c r="Q1" t="s">
        <v>967</v>
      </c>
      <c r="R1" t="s">
        <v>1213</v>
      </c>
    </row>
    <row r="2" spans="1:18" x14ac:dyDescent="0.25">
      <c r="B2" s="10" t="s">
        <v>1537</v>
      </c>
      <c r="C2" s="10">
        <v>1</v>
      </c>
      <c r="D2" s="10" t="s">
        <v>1537</v>
      </c>
      <c r="E2" s="10">
        <v>1</v>
      </c>
      <c r="F2" s="10" t="s">
        <v>1537</v>
      </c>
      <c r="G2" s="10">
        <v>1</v>
      </c>
      <c r="H2" s="14" t="s">
        <v>1537</v>
      </c>
      <c r="I2" s="14">
        <v>1</v>
      </c>
      <c r="K2" s="10" t="s">
        <v>968</v>
      </c>
      <c r="L2" s="10">
        <v>1</v>
      </c>
      <c r="M2" s="4" t="s">
        <v>1846</v>
      </c>
      <c r="N2" s="4">
        <v>4</v>
      </c>
      <c r="O2" s="4" t="s">
        <v>1846</v>
      </c>
      <c r="P2" s="4">
        <v>4</v>
      </c>
      <c r="Q2" s="4" t="s">
        <v>1846</v>
      </c>
      <c r="R2" s="4">
        <v>4</v>
      </c>
    </row>
    <row r="3" spans="1:18" x14ac:dyDescent="0.25">
      <c r="B3" s="10" t="s">
        <v>1538</v>
      </c>
      <c r="C3" s="10">
        <v>2</v>
      </c>
      <c r="D3" s="10" t="s">
        <v>1538</v>
      </c>
      <c r="E3" s="10">
        <v>2</v>
      </c>
      <c r="F3" s="10" t="s">
        <v>1538</v>
      </c>
      <c r="G3" s="10">
        <v>2</v>
      </c>
      <c r="H3" s="14" t="s">
        <v>1538</v>
      </c>
      <c r="I3" s="14">
        <v>2</v>
      </c>
      <c r="K3" s="10" t="s">
        <v>694</v>
      </c>
      <c r="L3" s="10">
        <v>2</v>
      </c>
      <c r="M3" s="4" t="s">
        <v>303</v>
      </c>
      <c r="N3" s="10">
        <v>1</v>
      </c>
      <c r="O3" s="10" t="s">
        <v>414</v>
      </c>
      <c r="P3" s="10">
        <v>1</v>
      </c>
      <c r="Q3" s="14" t="s">
        <v>968</v>
      </c>
      <c r="R3" s="14">
        <v>1</v>
      </c>
    </row>
    <row r="4" spans="1:18" x14ac:dyDescent="0.25">
      <c r="B4" s="10" t="s">
        <v>1539</v>
      </c>
      <c r="C4" s="10">
        <v>3</v>
      </c>
      <c r="D4" s="10" t="s">
        <v>1539</v>
      </c>
      <c r="E4" s="10">
        <v>3</v>
      </c>
      <c r="F4" s="10" t="s">
        <v>1539</v>
      </c>
      <c r="G4" s="10">
        <v>3</v>
      </c>
      <c r="H4" s="14" t="s">
        <v>1539</v>
      </c>
      <c r="I4" s="14">
        <v>3</v>
      </c>
      <c r="K4" s="10" t="s">
        <v>972</v>
      </c>
      <c r="L4" s="10">
        <v>3</v>
      </c>
      <c r="M4" s="4" t="s">
        <v>695</v>
      </c>
      <c r="N4" s="10">
        <v>2</v>
      </c>
      <c r="O4" s="4" t="s">
        <v>303</v>
      </c>
      <c r="P4" s="10">
        <v>1</v>
      </c>
      <c r="Q4" s="14" t="s">
        <v>694</v>
      </c>
      <c r="R4" s="14">
        <v>2</v>
      </c>
    </row>
    <row r="5" spans="1:18" x14ac:dyDescent="0.25">
      <c r="B5" s="10" t="s">
        <v>1540</v>
      </c>
      <c r="C5" s="10">
        <v>4</v>
      </c>
      <c r="D5" s="10" t="s">
        <v>1540</v>
      </c>
      <c r="E5" s="10">
        <v>4</v>
      </c>
      <c r="F5" s="10" t="s">
        <v>1540</v>
      </c>
      <c r="G5" s="10">
        <v>4</v>
      </c>
      <c r="H5" s="14" t="s">
        <v>1540</v>
      </c>
      <c r="I5" s="14">
        <v>4</v>
      </c>
      <c r="K5" s="10" t="s">
        <v>1312</v>
      </c>
      <c r="L5" s="10">
        <v>4</v>
      </c>
      <c r="M5" s="4" t="s">
        <v>974</v>
      </c>
      <c r="N5" s="10">
        <v>3</v>
      </c>
      <c r="O5" s="4" t="s">
        <v>695</v>
      </c>
      <c r="P5" s="10">
        <v>2</v>
      </c>
      <c r="Q5" s="14" t="s">
        <v>972</v>
      </c>
      <c r="R5" s="14">
        <v>3</v>
      </c>
    </row>
    <row r="6" spans="1:18" x14ac:dyDescent="0.25">
      <c r="B6" s="10" t="s">
        <v>1549</v>
      </c>
      <c r="C6" s="10">
        <v>1</v>
      </c>
      <c r="D6" s="10" t="s">
        <v>1549</v>
      </c>
      <c r="E6" s="10">
        <v>1</v>
      </c>
      <c r="F6" s="10" t="s">
        <v>1549</v>
      </c>
      <c r="G6" s="10">
        <v>1</v>
      </c>
      <c r="H6" s="14" t="s">
        <v>1549</v>
      </c>
      <c r="I6" s="14">
        <v>1</v>
      </c>
      <c r="K6" s="4" t="s">
        <v>969</v>
      </c>
      <c r="L6" s="10">
        <v>1</v>
      </c>
      <c r="M6" s="4" t="s">
        <v>1310</v>
      </c>
      <c r="N6" s="10">
        <v>4</v>
      </c>
      <c r="O6" s="4" t="s">
        <v>974</v>
      </c>
      <c r="P6" s="10">
        <v>3</v>
      </c>
      <c r="Q6" s="14" t="s">
        <v>1312</v>
      </c>
      <c r="R6" s="14">
        <v>4</v>
      </c>
    </row>
    <row r="7" spans="1:18" x14ac:dyDescent="0.25">
      <c r="B7" s="10" t="s">
        <v>1054</v>
      </c>
      <c r="C7" s="10">
        <v>2</v>
      </c>
      <c r="D7" s="10" t="s">
        <v>1054</v>
      </c>
      <c r="E7" s="10">
        <v>2</v>
      </c>
      <c r="F7" s="10" t="s">
        <v>1054</v>
      </c>
      <c r="G7" s="10">
        <v>2</v>
      </c>
      <c r="H7" s="14" t="s">
        <v>1054</v>
      </c>
      <c r="I7" s="14">
        <v>2</v>
      </c>
      <c r="K7" s="4" t="s">
        <v>702</v>
      </c>
      <c r="L7" s="10">
        <v>2</v>
      </c>
      <c r="M7" s="4" t="s">
        <v>304</v>
      </c>
      <c r="N7" s="10">
        <v>1</v>
      </c>
      <c r="O7" s="4" t="s">
        <v>1310</v>
      </c>
      <c r="P7" s="10">
        <v>4</v>
      </c>
      <c r="Q7" s="17" t="s">
        <v>969</v>
      </c>
      <c r="R7" s="14">
        <v>1</v>
      </c>
    </row>
    <row r="8" spans="1:18" x14ac:dyDescent="0.25">
      <c r="B8" s="10" t="s">
        <v>572</v>
      </c>
      <c r="C8" s="10">
        <v>3</v>
      </c>
      <c r="D8" s="10" t="s">
        <v>572</v>
      </c>
      <c r="E8" s="10">
        <v>3</v>
      </c>
      <c r="F8" s="10" t="s">
        <v>572</v>
      </c>
      <c r="G8" s="10">
        <v>3</v>
      </c>
      <c r="H8" s="14" t="s">
        <v>572</v>
      </c>
      <c r="I8" s="14">
        <v>3</v>
      </c>
      <c r="K8" s="4" t="s">
        <v>973</v>
      </c>
      <c r="L8" s="10">
        <v>3</v>
      </c>
      <c r="M8" s="4" t="s">
        <v>696</v>
      </c>
      <c r="N8" s="10">
        <v>2</v>
      </c>
      <c r="O8" s="4" t="s">
        <v>304</v>
      </c>
      <c r="P8" s="10">
        <v>1</v>
      </c>
      <c r="Q8" s="17" t="s">
        <v>702</v>
      </c>
      <c r="R8" s="14">
        <v>2</v>
      </c>
    </row>
    <row r="9" spans="1:18" x14ac:dyDescent="0.25">
      <c r="B9" s="10" t="s">
        <v>573</v>
      </c>
      <c r="C9" s="10">
        <v>4</v>
      </c>
      <c r="D9" s="10" t="s">
        <v>573</v>
      </c>
      <c r="E9" s="10">
        <v>4</v>
      </c>
      <c r="F9" s="10" t="s">
        <v>573</v>
      </c>
      <c r="G9" s="10">
        <v>4</v>
      </c>
      <c r="H9" s="14" t="s">
        <v>573</v>
      </c>
      <c r="I9" s="14">
        <v>4</v>
      </c>
      <c r="K9" s="4" t="s">
        <v>1311</v>
      </c>
      <c r="L9" s="10">
        <v>4</v>
      </c>
      <c r="M9" s="4" t="s">
        <v>975</v>
      </c>
      <c r="N9" s="10">
        <v>3</v>
      </c>
      <c r="O9" s="4" t="s">
        <v>696</v>
      </c>
      <c r="P9" s="10">
        <v>2</v>
      </c>
      <c r="Q9" s="17" t="s">
        <v>973</v>
      </c>
      <c r="R9" s="14">
        <v>3</v>
      </c>
    </row>
    <row r="10" spans="1:18" x14ac:dyDescent="0.25">
      <c r="B10" s="10" t="s">
        <v>1009</v>
      </c>
      <c r="C10" s="10">
        <v>1</v>
      </c>
      <c r="D10" s="10" t="s">
        <v>1009</v>
      </c>
      <c r="E10" s="10">
        <v>1</v>
      </c>
      <c r="F10" s="10" t="s">
        <v>1008</v>
      </c>
      <c r="G10" s="10">
        <v>1</v>
      </c>
      <c r="H10" s="10" t="s">
        <v>1008</v>
      </c>
      <c r="I10" s="10">
        <v>1</v>
      </c>
      <c r="K10" s="4" t="s">
        <v>303</v>
      </c>
      <c r="L10" s="10">
        <v>1</v>
      </c>
      <c r="M10" s="4" t="s">
        <v>1309</v>
      </c>
      <c r="N10" s="10">
        <v>4</v>
      </c>
      <c r="O10" s="4" t="s">
        <v>975</v>
      </c>
      <c r="P10" s="10">
        <v>3</v>
      </c>
      <c r="Q10" s="17" t="s">
        <v>1311</v>
      </c>
      <c r="R10" s="14">
        <v>4</v>
      </c>
    </row>
    <row r="11" spans="1:18" x14ac:dyDescent="0.25">
      <c r="B11" s="10" t="s">
        <v>1056</v>
      </c>
      <c r="C11" s="10">
        <v>2</v>
      </c>
      <c r="D11" s="10" t="s">
        <v>1056</v>
      </c>
      <c r="E11" s="10">
        <v>2</v>
      </c>
      <c r="F11" s="10" t="s">
        <v>1055</v>
      </c>
      <c r="G11" s="10">
        <v>2</v>
      </c>
      <c r="H11" s="10" t="s">
        <v>1055</v>
      </c>
      <c r="I11" s="10">
        <v>2</v>
      </c>
      <c r="K11" s="4" t="s">
        <v>695</v>
      </c>
      <c r="L11" s="10">
        <v>2</v>
      </c>
      <c r="M11" s="10" t="s">
        <v>305</v>
      </c>
      <c r="N11" s="10">
        <v>1</v>
      </c>
      <c r="O11" s="4" t="s">
        <v>1309</v>
      </c>
      <c r="P11" s="10">
        <v>4</v>
      </c>
      <c r="Q11" s="10" t="s">
        <v>414</v>
      </c>
      <c r="R11" s="10">
        <v>1</v>
      </c>
    </row>
    <row r="12" spans="1:18" x14ac:dyDescent="0.25">
      <c r="B12" s="10" t="s">
        <v>570</v>
      </c>
      <c r="C12" s="10">
        <v>3</v>
      </c>
      <c r="D12" s="10" t="s">
        <v>570</v>
      </c>
      <c r="E12" s="10">
        <v>3</v>
      </c>
      <c r="F12" s="10" t="s">
        <v>571</v>
      </c>
      <c r="G12" s="10">
        <v>3</v>
      </c>
      <c r="H12" s="10" t="s">
        <v>571</v>
      </c>
      <c r="I12" s="10">
        <v>3</v>
      </c>
      <c r="K12" s="4" t="s">
        <v>974</v>
      </c>
      <c r="L12" s="10">
        <v>3</v>
      </c>
      <c r="M12" s="10" t="s">
        <v>306</v>
      </c>
      <c r="N12" s="10">
        <v>2</v>
      </c>
      <c r="O12" s="10" t="s">
        <v>305</v>
      </c>
      <c r="P12" s="10">
        <v>1</v>
      </c>
      <c r="Q12" s="4" t="s">
        <v>303</v>
      </c>
      <c r="R12" s="10">
        <v>1</v>
      </c>
    </row>
    <row r="13" spans="1:18" x14ac:dyDescent="0.25">
      <c r="B13" s="10" t="s">
        <v>575</v>
      </c>
      <c r="C13" s="10">
        <v>4</v>
      </c>
      <c r="D13" s="10" t="s">
        <v>575</v>
      </c>
      <c r="E13" s="10">
        <v>4</v>
      </c>
      <c r="F13" s="10" t="s">
        <v>574</v>
      </c>
      <c r="G13" s="10">
        <v>4</v>
      </c>
      <c r="H13" s="10" t="s">
        <v>574</v>
      </c>
      <c r="I13" s="10">
        <v>4</v>
      </c>
      <c r="K13" s="4" t="s">
        <v>1310</v>
      </c>
      <c r="L13" s="10">
        <v>4</v>
      </c>
      <c r="M13" s="10" t="s">
        <v>307</v>
      </c>
      <c r="N13" s="10">
        <v>3</v>
      </c>
      <c r="O13" s="10" t="s">
        <v>306</v>
      </c>
      <c r="P13" s="10">
        <v>2</v>
      </c>
      <c r="Q13" s="4" t="s">
        <v>695</v>
      </c>
      <c r="R13" s="10">
        <v>2</v>
      </c>
    </row>
    <row r="14" spans="1:18" x14ac:dyDescent="0.25">
      <c r="B14" s="213" t="s">
        <v>1372</v>
      </c>
      <c r="C14" s="10">
        <v>1</v>
      </c>
      <c r="D14" s="213" t="s">
        <v>1372</v>
      </c>
      <c r="E14" s="10">
        <v>1</v>
      </c>
      <c r="F14" s="10" t="s">
        <v>1009</v>
      </c>
      <c r="G14" s="10">
        <v>1</v>
      </c>
      <c r="H14" s="10" t="s">
        <v>1009</v>
      </c>
      <c r="I14" s="10">
        <v>1</v>
      </c>
      <c r="K14" s="4" t="s">
        <v>304</v>
      </c>
      <c r="L14" s="10">
        <v>1</v>
      </c>
      <c r="M14" s="10" t="s">
        <v>308</v>
      </c>
      <c r="N14" s="10">
        <v>4</v>
      </c>
      <c r="O14" s="10" t="s">
        <v>307</v>
      </c>
      <c r="P14" s="10">
        <v>3</v>
      </c>
      <c r="Q14" s="4" t="s">
        <v>974</v>
      </c>
      <c r="R14" s="10">
        <v>3</v>
      </c>
    </row>
    <row r="15" spans="1:18" x14ac:dyDescent="0.25">
      <c r="B15" s="10" t="s">
        <v>1052</v>
      </c>
      <c r="C15" s="10">
        <v>1</v>
      </c>
      <c r="D15" s="10" t="s">
        <v>1052</v>
      </c>
      <c r="E15" s="10">
        <v>1</v>
      </c>
      <c r="F15" s="10" t="s">
        <v>1056</v>
      </c>
      <c r="G15" s="10">
        <v>2</v>
      </c>
      <c r="H15" s="10" t="s">
        <v>1056</v>
      </c>
      <c r="I15" s="10">
        <v>2</v>
      </c>
      <c r="K15" s="4" t="s">
        <v>696</v>
      </c>
      <c r="L15" s="10">
        <v>2</v>
      </c>
      <c r="M15" s="10" t="s">
        <v>309</v>
      </c>
      <c r="N15" s="10">
        <v>1</v>
      </c>
      <c r="O15" s="10" t="s">
        <v>308</v>
      </c>
      <c r="P15" s="10">
        <v>4</v>
      </c>
      <c r="Q15" s="4" t="s">
        <v>1310</v>
      </c>
      <c r="R15" s="10">
        <v>4</v>
      </c>
    </row>
    <row r="16" spans="1:18" x14ac:dyDescent="0.25">
      <c r="B16" s="10" t="s">
        <v>1057</v>
      </c>
      <c r="C16" s="10">
        <v>2</v>
      </c>
      <c r="D16" s="10" t="s">
        <v>1057</v>
      </c>
      <c r="E16" s="10">
        <v>2</v>
      </c>
      <c r="F16" s="10" t="s">
        <v>570</v>
      </c>
      <c r="G16" s="10">
        <v>3</v>
      </c>
      <c r="H16" s="10" t="s">
        <v>570</v>
      </c>
      <c r="I16" s="10">
        <v>3</v>
      </c>
      <c r="K16" s="4" t="s">
        <v>975</v>
      </c>
      <c r="L16" s="10">
        <v>3</v>
      </c>
      <c r="M16" s="10" t="s">
        <v>697</v>
      </c>
      <c r="N16" s="10">
        <v>2</v>
      </c>
      <c r="O16" s="10" t="s">
        <v>309</v>
      </c>
      <c r="P16" s="10">
        <v>1</v>
      </c>
      <c r="Q16" s="4" t="s">
        <v>304</v>
      </c>
      <c r="R16" s="10">
        <v>1</v>
      </c>
    </row>
    <row r="17" spans="2:18" x14ac:dyDescent="0.25">
      <c r="B17" s="10" t="s">
        <v>568</v>
      </c>
      <c r="C17" s="10">
        <v>3</v>
      </c>
      <c r="D17" s="10" t="s">
        <v>568</v>
      </c>
      <c r="E17" s="10">
        <v>3</v>
      </c>
      <c r="F17" s="10" t="s">
        <v>575</v>
      </c>
      <c r="G17" s="10">
        <v>4</v>
      </c>
      <c r="H17" s="10" t="s">
        <v>575</v>
      </c>
      <c r="I17" s="10">
        <v>4</v>
      </c>
      <c r="K17" s="4" t="s">
        <v>1309</v>
      </c>
      <c r="L17" s="10">
        <v>4</v>
      </c>
      <c r="M17" s="10" t="s">
        <v>976</v>
      </c>
      <c r="N17" s="10">
        <v>3</v>
      </c>
      <c r="O17" s="10" t="s">
        <v>697</v>
      </c>
      <c r="P17" s="10">
        <v>2</v>
      </c>
      <c r="Q17" s="4" t="s">
        <v>696</v>
      </c>
      <c r="R17" s="10">
        <v>2</v>
      </c>
    </row>
    <row r="18" spans="2:18" x14ac:dyDescent="0.25">
      <c r="B18" s="10" t="s">
        <v>577</v>
      </c>
      <c r="C18" s="10">
        <v>4</v>
      </c>
      <c r="D18" s="10" t="s">
        <v>577</v>
      </c>
      <c r="E18" s="10">
        <v>4</v>
      </c>
      <c r="F18" s="10" t="s">
        <v>189</v>
      </c>
      <c r="G18" s="10">
        <v>4</v>
      </c>
      <c r="H18" s="10" t="s">
        <v>189</v>
      </c>
      <c r="I18" s="10">
        <v>4</v>
      </c>
      <c r="K18" s="10" t="s">
        <v>305</v>
      </c>
      <c r="L18" s="10">
        <v>1</v>
      </c>
      <c r="M18" s="10" t="s">
        <v>1308</v>
      </c>
      <c r="N18" s="10">
        <v>4</v>
      </c>
      <c r="O18" s="10" t="s">
        <v>976</v>
      </c>
      <c r="P18" s="10">
        <v>3</v>
      </c>
      <c r="Q18" s="4" t="s">
        <v>975</v>
      </c>
      <c r="R18" s="10">
        <v>3</v>
      </c>
    </row>
    <row r="19" spans="2:18" x14ac:dyDescent="0.25">
      <c r="B19" s="10" t="s">
        <v>1374</v>
      </c>
      <c r="C19" s="10">
        <v>4</v>
      </c>
      <c r="D19" s="11" t="s">
        <v>1050</v>
      </c>
      <c r="E19" s="10">
        <v>1</v>
      </c>
      <c r="F19" s="11" t="s">
        <v>1010</v>
      </c>
      <c r="G19" s="10">
        <v>1</v>
      </c>
      <c r="H19" s="11" t="s">
        <v>1010</v>
      </c>
      <c r="I19" s="10">
        <v>1</v>
      </c>
      <c r="K19" s="10" t="s">
        <v>306</v>
      </c>
      <c r="L19" s="10">
        <v>2</v>
      </c>
      <c r="M19" s="10" t="s">
        <v>310</v>
      </c>
      <c r="N19" s="10">
        <v>1</v>
      </c>
      <c r="O19" s="10" t="s">
        <v>1308</v>
      </c>
      <c r="P19" s="10">
        <v>4</v>
      </c>
      <c r="Q19" s="4" t="s">
        <v>1309</v>
      </c>
      <c r="R19" s="10">
        <v>4</v>
      </c>
    </row>
    <row r="20" spans="2:18" x14ac:dyDescent="0.25">
      <c r="B20" s="10" t="s">
        <v>1051</v>
      </c>
      <c r="C20" s="10">
        <v>1</v>
      </c>
      <c r="D20" s="11" t="s">
        <v>1059</v>
      </c>
      <c r="E20" s="10">
        <v>2</v>
      </c>
      <c r="F20" s="11" t="s">
        <v>1053</v>
      </c>
      <c r="G20" s="10">
        <v>2</v>
      </c>
      <c r="H20" s="11" t="s">
        <v>1053</v>
      </c>
      <c r="I20" s="10">
        <v>2</v>
      </c>
      <c r="K20" s="10" t="s">
        <v>307</v>
      </c>
      <c r="L20" s="10">
        <v>3</v>
      </c>
      <c r="M20" s="10" t="s">
        <v>703</v>
      </c>
      <c r="N20" s="10">
        <v>2</v>
      </c>
      <c r="O20" s="10" t="s">
        <v>310</v>
      </c>
      <c r="P20" s="10">
        <v>1</v>
      </c>
      <c r="Q20" s="10" t="s">
        <v>305</v>
      </c>
      <c r="R20" s="10">
        <v>1</v>
      </c>
    </row>
    <row r="21" spans="2:18" x14ac:dyDescent="0.25">
      <c r="B21" s="10" t="s">
        <v>1058</v>
      </c>
      <c r="C21" s="10">
        <v>2</v>
      </c>
      <c r="D21" s="11" t="s">
        <v>567</v>
      </c>
      <c r="E21" s="10">
        <v>3</v>
      </c>
      <c r="F21" s="11" t="s">
        <v>569</v>
      </c>
      <c r="G21" s="10">
        <v>3</v>
      </c>
      <c r="H21" s="11" t="s">
        <v>569</v>
      </c>
      <c r="I21" s="10">
        <v>3</v>
      </c>
      <c r="K21" s="10" t="s">
        <v>308</v>
      </c>
      <c r="L21" s="10">
        <v>4</v>
      </c>
      <c r="M21" s="10" t="s">
        <v>977</v>
      </c>
      <c r="N21" s="10">
        <v>3</v>
      </c>
      <c r="O21" s="10" t="s">
        <v>703</v>
      </c>
      <c r="P21" s="10">
        <v>2</v>
      </c>
      <c r="Q21" s="10" t="s">
        <v>306</v>
      </c>
      <c r="R21" s="10">
        <v>2</v>
      </c>
    </row>
    <row r="22" spans="2:18" x14ac:dyDescent="0.25">
      <c r="B22" s="10" t="s">
        <v>579</v>
      </c>
      <c r="C22" s="10">
        <v>3</v>
      </c>
      <c r="D22" s="11" t="s">
        <v>580</v>
      </c>
      <c r="E22" s="10">
        <v>4</v>
      </c>
      <c r="F22" s="11" t="s">
        <v>576</v>
      </c>
      <c r="G22" s="10">
        <v>4</v>
      </c>
      <c r="H22" s="11" t="s">
        <v>576</v>
      </c>
      <c r="I22" s="10">
        <v>4</v>
      </c>
      <c r="K22" s="10" t="s">
        <v>309</v>
      </c>
      <c r="L22" s="10">
        <v>1</v>
      </c>
      <c r="M22" s="10" t="s">
        <v>1307</v>
      </c>
      <c r="N22" s="10">
        <v>4</v>
      </c>
      <c r="O22" s="10" t="s">
        <v>977</v>
      </c>
      <c r="P22" s="10">
        <v>3</v>
      </c>
      <c r="Q22" s="10" t="s">
        <v>307</v>
      </c>
      <c r="R22" s="10">
        <v>3</v>
      </c>
    </row>
    <row r="23" spans="2:18" x14ac:dyDescent="0.25">
      <c r="B23" s="10" t="s">
        <v>578</v>
      </c>
      <c r="C23" s="10">
        <v>4</v>
      </c>
      <c r="D23" s="11" t="s">
        <v>1049</v>
      </c>
      <c r="E23" s="10">
        <v>1</v>
      </c>
      <c r="F23" s="213" t="s">
        <v>1372</v>
      </c>
      <c r="G23" s="10">
        <v>1</v>
      </c>
      <c r="H23" s="213" t="s">
        <v>1372</v>
      </c>
      <c r="I23" s="10">
        <v>1</v>
      </c>
      <c r="K23" s="10" t="s">
        <v>697</v>
      </c>
      <c r="L23" s="10">
        <v>2</v>
      </c>
      <c r="M23" s="10" t="s">
        <v>416</v>
      </c>
      <c r="N23" s="10">
        <v>1</v>
      </c>
      <c r="O23" s="10" t="s">
        <v>1307</v>
      </c>
      <c r="P23" s="10">
        <v>4</v>
      </c>
      <c r="Q23" s="10" t="s">
        <v>308</v>
      </c>
      <c r="R23" s="10">
        <v>4</v>
      </c>
    </row>
    <row r="24" spans="2:18" x14ac:dyDescent="0.25">
      <c r="B24" s="11" t="s">
        <v>1050</v>
      </c>
      <c r="C24" s="10">
        <v>1</v>
      </c>
      <c r="D24" s="11" t="s">
        <v>1060</v>
      </c>
      <c r="E24" s="10">
        <v>2</v>
      </c>
      <c r="F24" s="10" t="s">
        <v>1052</v>
      </c>
      <c r="G24" s="10">
        <v>1</v>
      </c>
      <c r="H24" s="10" t="s">
        <v>1052</v>
      </c>
      <c r="I24" s="10">
        <v>1</v>
      </c>
      <c r="K24" s="10" t="s">
        <v>976</v>
      </c>
      <c r="L24" s="10">
        <v>3</v>
      </c>
      <c r="M24" s="10" t="s">
        <v>311</v>
      </c>
      <c r="N24" s="10">
        <v>1</v>
      </c>
      <c r="O24" s="213" t="s">
        <v>2049</v>
      </c>
      <c r="P24" s="10">
        <v>1</v>
      </c>
      <c r="Q24" s="10" t="s">
        <v>309</v>
      </c>
      <c r="R24" s="10">
        <v>1</v>
      </c>
    </row>
    <row r="25" spans="2:18" x14ac:dyDescent="0.25">
      <c r="B25" s="11" t="s">
        <v>1059</v>
      </c>
      <c r="C25" s="10">
        <v>2</v>
      </c>
      <c r="D25" s="11" t="s">
        <v>566</v>
      </c>
      <c r="E25" s="10">
        <v>3</v>
      </c>
      <c r="F25" s="10" t="s">
        <v>1057</v>
      </c>
      <c r="G25" s="10">
        <v>2</v>
      </c>
      <c r="H25" s="10" t="s">
        <v>1057</v>
      </c>
      <c r="I25" s="10">
        <v>2</v>
      </c>
      <c r="K25" s="10" t="s">
        <v>1308</v>
      </c>
      <c r="L25" s="10">
        <v>4</v>
      </c>
      <c r="M25" s="10" t="s">
        <v>302</v>
      </c>
      <c r="N25" s="10">
        <v>2</v>
      </c>
      <c r="O25" s="213" t="s">
        <v>2050</v>
      </c>
      <c r="P25" s="10">
        <v>2</v>
      </c>
      <c r="Q25" s="10" t="s">
        <v>697</v>
      </c>
      <c r="R25" s="10">
        <v>2</v>
      </c>
    </row>
    <row r="26" spans="2:18" x14ac:dyDescent="0.25">
      <c r="B26" s="11" t="s">
        <v>567</v>
      </c>
      <c r="C26" s="10">
        <v>3</v>
      </c>
      <c r="D26" s="11" t="s">
        <v>581</v>
      </c>
      <c r="E26" s="10">
        <v>4</v>
      </c>
      <c r="F26" s="10" t="s">
        <v>568</v>
      </c>
      <c r="G26" s="10">
        <v>3</v>
      </c>
      <c r="H26" s="10" t="s">
        <v>568</v>
      </c>
      <c r="I26" s="10">
        <v>3</v>
      </c>
      <c r="K26" s="10" t="s">
        <v>310</v>
      </c>
      <c r="L26" s="10">
        <v>1</v>
      </c>
      <c r="M26" s="10" t="s">
        <v>978</v>
      </c>
      <c r="N26" s="10">
        <v>3</v>
      </c>
      <c r="O26" s="213" t="s">
        <v>2051</v>
      </c>
      <c r="P26" s="10">
        <v>3</v>
      </c>
      <c r="Q26" s="10" t="s">
        <v>976</v>
      </c>
      <c r="R26" s="10">
        <v>3</v>
      </c>
    </row>
    <row r="27" spans="2:18" x14ac:dyDescent="0.25">
      <c r="B27" s="11" t="s">
        <v>580</v>
      </c>
      <c r="C27" s="10">
        <v>4</v>
      </c>
      <c r="D27" s="10" t="s">
        <v>172</v>
      </c>
      <c r="E27" s="10">
        <v>2</v>
      </c>
      <c r="F27" s="10" t="s">
        <v>577</v>
      </c>
      <c r="G27" s="10">
        <v>4</v>
      </c>
      <c r="H27" s="10" t="s">
        <v>577</v>
      </c>
      <c r="I27" s="10">
        <v>4</v>
      </c>
      <c r="K27" s="10" t="s">
        <v>703</v>
      </c>
      <c r="L27" s="10">
        <v>2</v>
      </c>
      <c r="M27" s="10" t="s">
        <v>1306</v>
      </c>
      <c r="N27" s="10">
        <v>4</v>
      </c>
      <c r="O27" s="213" t="s">
        <v>2048</v>
      </c>
      <c r="P27" s="10">
        <v>4</v>
      </c>
      <c r="Q27" s="10" t="s">
        <v>1308</v>
      </c>
      <c r="R27" s="10">
        <v>4</v>
      </c>
    </row>
    <row r="28" spans="2:18" x14ac:dyDescent="0.25">
      <c r="B28" s="11" t="s">
        <v>1049</v>
      </c>
      <c r="C28" s="10">
        <v>1</v>
      </c>
      <c r="D28" s="10" t="s">
        <v>1048</v>
      </c>
      <c r="E28" s="10">
        <v>1</v>
      </c>
      <c r="F28" s="11" t="s">
        <v>1050</v>
      </c>
      <c r="G28" s="10">
        <v>1</v>
      </c>
      <c r="H28" s="10" t="s">
        <v>1374</v>
      </c>
      <c r="I28" s="10">
        <v>4</v>
      </c>
      <c r="K28" s="10" t="s">
        <v>977</v>
      </c>
      <c r="L28" s="10">
        <v>3</v>
      </c>
      <c r="M28" s="4" t="s">
        <v>312</v>
      </c>
      <c r="N28" s="10">
        <v>1</v>
      </c>
      <c r="O28" s="10" t="s">
        <v>416</v>
      </c>
      <c r="P28" s="10">
        <v>1</v>
      </c>
      <c r="Q28" s="10" t="s">
        <v>310</v>
      </c>
      <c r="R28" s="10">
        <v>1</v>
      </c>
    </row>
    <row r="29" spans="2:18" x14ac:dyDescent="0.25">
      <c r="B29" s="11" t="s">
        <v>1060</v>
      </c>
      <c r="C29" s="10">
        <v>2</v>
      </c>
      <c r="D29" s="10" t="s">
        <v>1061</v>
      </c>
      <c r="E29" s="10">
        <v>2</v>
      </c>
      <c r="F29" s="11" t="s">
        <v>1059</v>
      </c>
      <c r="G29" s="10">
        <v>2</v>
      </c>
      <c r="H29" s="10" t="s">
        <v>1051</v>
      </c>
      <c r="I29" s="10">
        <v>1</v>
      </c>
      <c r="K29" s="10" t="s">
        <v>1307</v>
      </c>
      <c r="L29" s="10">
        <v>4</v>
      </c>
      <c r="M29" s="4" t="s">
        <v>301</v>
      </c>
      <c r="N29" s="10">
        <v>2</v>
      </c>
      <c r="O29" s="10" t="s">
        <v>311</v>
      </c>
      <c r="P29" s="10">
        <v>1</v>
      </c>
      <c r="Q29" s="10" t="s">
        <v>703</v>
      </c>
      <c r="R29" s="10">
        <v>2</v>
      </c>
    </row>
    <row r="30" spans="2:18" x14ac:dyDescent="0.25">
      <c r="B30" s="11" t="s">
        <v>566</v>
      </c>
      <c r="C30" s="10">
        <v>3</v>
      </c>
      <c r="D30" s="10" t="s">
        <v>565</v>
      </c>
      <c r="E30" s="10">
        <v>3</v>
      </c>
      <c r="F30" s="11" t="s">
        <v>567</v>
      </c>
      <c r="G30" s="10">
        <v>3</v>
      </c>
      <c r="H30" s="10" t="s">
        <v>1058</v>
      </c>
      <c r="I30" s="10">
        <v>2</v>
      </c>
      <c r="K30" s="10" t="s">
        <v>311</v>
      </c>
      <c r="L30" s="10">
        <v>1</v>
      </c>
      <c r="M30" s="4" t="s">
        <v>979</v>
      </c>
      <c r="N30" s="10">
        <v>3</v>
      </c>
      <c r="O30" s="10" t="s">
        <v>302</v>
      </c>
      <c r="P30" s="10">
        <v>2</v>
      </c>
      <c r="Q30" s="10" t="s">
        <v>977</v>
      </c>
      <c r="R30" s="10">
        <v>3</v>
      </c>
    </row>
    <row r="31" spans="2:18" x14ac:dyDescent="0.25">
      <c r="B31" s="11" t="s">
        <v>581</v>
      </c>
      <c r="C31" s="10">
        <v>4</v>
      </c>
      <c r="D31" s="10" t="s">
        <v>582</v>
      </c>
      <c r="E31" s="10">
        <v>4</v>
      </c>
      <c r="F31" s="11" t="s">
        <v>580</v>
      </c>
      <c r="G31" s="10">
        <v>4</v>
      </c>
      <c r="H31" s="10" t="s">
        <v>579</v>
      </c>
      <c r="I31" s="10">
        <v>3</v>
      </c>
      <c r="K31" s="10" t="s">
        <v>302</v>
      </c>
      <c r="L31" s="10">
        <v>2</v>
      </c>
      <c r="M31" s="4" t="s">
        <v>1305</v>
      </c>
      <c r="N31" s="10">
        <v>4</v>
      </c>
      <c r="O31" s="10" t="s">
        <v>978</v>
      </c>
      <c r="P31" s="10">
        <v>3</v>
      </c>
      <c r="Q31" s="10" t="s">
        <v>1307</v>
      </c>
      <c r="R31" s="10">
        <v>4</v>
      </c>
    </row>
    <row r="32" spans="2:18" x14ac:dyDescent="0.25">
      <c r="B32" s="10" t="s">
        <v>1451</v>
      </c>
      <c r="C32" s="10">
        <v>1</v>
      </c>
      <c r="D32" s="10" t="s">
        <v>1047</v>
      </c>
      <c r="E32" s="10">
        <v>1</v>
      </c>
      <c r="F32" s="11" t="s">
        <v>1049</v>
      </c>
      <c r="G32" s="10">
        <v>1</v>
      </c>
      <c r="H32" s="10" t="s">
        <v>578</v>
      </c>
      <c r="I32" s="10">
        <v>4</v>
      </c>
      <c r="K32" s="10" t="s">
        <v>978</v>
      </c>
      <c r="L32" s="10">
        <v>3</v>
      </c>
      <c r="M32" s="10" t="s">
        <v>1775</v>
      </c>
      <c r="N32" s="10">
        <v>4</v>
      </c>
      <c r="O32" s="10" t="s">
        <v>1306</v>
      </c>
      <c r="P32" s="10">
        <v>4</v>
      </c>
      <c r="Q32" s="235" t="s">
        <v>2049</v>
      </c>
      <c r="R32" s="14">
        <v>1</v>
      </c>
    </row>
    <row r="33" spans="2:18" x14ac:dyDescent="0.25">
      <c r="B33" s="10" t="s">
        <v>1045</v>
      </c>
      <c r="C33" s="10">
        <v>1</v>
      </c>
      <c r="D33" s="10" t="s">
        <v>313</v>
      </c>
      <c r="E33" s="10">
        <v>2</v>
      </c>
      <c r="F33" s="11" t="s">
        <v>1060</v>
      </c>
      <c r="G33" s="10">
        <v>2</v>
      </c>
      <c r="H33" s="11" t="s">
        <v>1050</v>
      </c>
      <c r="I33" s="10">
        <v>1</v>
      </c>
      <c r="K33" s="10" t="s">
        <v>1306</v>
      </c>
      <c r="L33" s="10">
        <v>4</v>
      </c>
      <c r="M33" s="8" t="s">
        <v>913</v>
      </c>
      <c r="N33" s="10">
        <v>1</v>
      </c>
      <c r="O33" s="4" t="s">
        <v>312</v>
      </c>
      <c r="P33" s="10">
        <v>1</v>
      </c>
      <c r="Q33" s="235" t="s">
        <v>2050</v>
      </c>
      <c r="R33" s="14">
        <v>2</v>
      </c>
    </row>
    <row r="34" spans="2:18" x14ac:dyDescent="0.25">
      <c r="B34" s="10" t="s">
        <v>315</v>
      </c>
      <c r="C34" s="10">
        <v>2</v>
      </c>
      <c r="D34" s="10" t="s">
        <v>564</v>
      </c>
      <c r="E34" s="10">
        <v>3</v>
      </c>
      <c r="F34" s="11" t="s">
        <v>566</v>
      </c>
      <c r="G34" s="10">
        <v>3</v>
      </c>
      <c r="H34" s="11" t="s">
        <v>1059</v>
      </c>
      <c r="I34" s="10">
        <v>2</v>
      </c>
      <c r="K34" s="4" t="s">
        <v>312</v>
      </c>
      <c r="L34" s="10">
        <v>1</v>
      </c>
      <c r="M34" s="8" t="s">
        <v>300</v>
      </c>
      <c r="N34" s="10">
        <v>2</v>
      </c>
      <c r="O34" s="4" t="s">
        <v>301</v>
      </c>
      <c r="P34" s="10">
        <v>2</v>
      </c>
      <c r="Q34" s="235" t="s">
        <v>2051</v>
      </c>
      <c r="R34" s="14">
        <v>3</v>
      </c>
    </row>
    <row r="35" spans="2:18" x14ac:dyDescent="0.25">
      <c r="B35" s="10" t="s">
        <v>562</v>
      </c>
      <c r="C35" s="10">
        <v>3</v>
      </c>
      <c r="D35" s="10" t="s">
        <v>583</v>
      </c>
      <c r="E35" s="10">
        <v>4</v>
      </c>
      <c r="F35" s="11" t="s">
        <v>581</v>
      </c>
      <c r="G35" s="10">
        <v>4</v>
      </c>
      <c r="H35" s="11" t="s">
        <v>567</v>
      </c>
      <c r="I35" s="10">
        <v>3</v>
      </c>
      <c r="K35" s="4" t="s">
        <v>301</v>
      </c>
      <c r="L35" s="10">
        <v>2</v>
      </c>
      <c r="M35" s="8" t="s">
        <v>980</v>
      </c>
      <c r="N35" s="10">
        <v>3</v>
      </c>
      <c r="O35" s="4" t="s">
        <v>979</v>
      </c>
      <c r="P35" s="10">
        <v>3</v>
      </c>
      <c r="Q35" s="235" t="s">
        <v>2048</v>
      </c>
      <c r="R35" s="14">
        <v>4</v>
      </c>
    </row>
    <row r="36" spans="2:18" x14ac:dyDescent="0.25">
      <c r="B36" s="10" t="s">
        <v>585</v>
      </c>
      <c r="C36" s="10">
        <v>4</v>
      </c>
      <c r="D36" s="10" t="s">
        <v>1046</v>
      </c>
      <c r="E36" s="10">
        <v>1</v>
      </c>
      <c r="F36" s="10" t="s">
        <v>172</v>
      </c>
      <c r="G36" s="10">
        <v>2</v>
      </c>
      <c r="H36" s="11" t="s">
        <v>580</v>
      </c>
      <c r="I36" s="10">
        <v>4</v>
      </c>
      <c r="K36" s="4" t="s">
        <v>979</v>
      </c>
      <c r="L36" s="10">
        <v>3</v>
      </c>
      <c r="M36" s="8" t="s">
        <v>1304</v>
      </c>
      <c r="N36" s="10">
        <v>4</v>
      </c>
      <c r="O36" s="4" t="s">
        <v>1305</v>
      </c>
      <c r="P36" s="10">
        <v>4</v>
      </c>
      <c r="Q36" s="10" t="s">
        <v>416</v>
      </c>
      <c r="R36" s="10">
        <v>1</v>
      </c>
    </row>
    <row r="37" spans="2:18" x14ac:dyDescent="0.25">
      <c r="B37" s="10" t="s">
        <v>757</v>
      </c>
      <c r="C37" s="10">
        <v>4</v>
      </c>
      <c r="D37" s="10" t="s">
        <v>314</v>
      </c>
      <c r="E37" s="10">
        <v>2</v>
      </c>
      <c r="F37" s="10" t="s">
        <v>1048</v>
      </c>
      <c r="G37" s="10">
        <v>1</v>
      </c>
      <c r="H37" s="10" t="s">
        <v>172</v>
      </c>
      <c r="I37" s="10">
        <v>2</v>
      </c>
      <c r="K37" s="4" t="s">
        <v>1305</v>
      </c>
      <c r="L37" s="10">
        <v>4</v>
      </c>
      <c r="M37" s="10" t="s">
        <v>914</v>
      </c>
      <c r="N37" s="10">
        <v>1</v>
      </c>
      <c r="O37" s="10" t="s">
        <v>1775</v>
      </c>
      <c r="P37" s="10">
        <v>4</v>
      </c>
      <c r="Q37" s="10" t="s">
        <v>311</v>
      </c>
      <c r="R37" s="10">
        <v>1</v>
      </c>
    </row>
    <row r="38" spans="2:18" x14ac:dyDescent="0.25">
      <c r="B38" s="10" t="s">
        <v>1452</v>
      </c>
      <c r="C38" s="10">
        <v>1</v>
      </c>
      <c r="D38" s="10" t="s">
        <v>563</v>
      </c>
      <c r="E38" s="10">
        <v>3</v>
      </c>
      <c r="F38" s="10" t="s">
        <v>1061</v>
      </c>
      <c r="G38" s="10">
        <v>2</v>
      </c>
      <c r="H38" s="15" t="s">
        <v>1049</v>
      </c>
      <c r="I38" s="14">
        <v>1</v>
      </c>
      <c r="K38" s="10" t="s">
        <v>1775</v>
      </c>
      <c r="L38" s="10">
        <v>4</v>
      </c>
      <c r="M38" s="10" t="s">
        <v>299</v>
      </c>
      <c r="N38" s="10">
        <v>2</v>
      </c>
      <c r="O38" s="8" t="s">
        <v>913</v>
      </c>
      <c r="P38" s="10">
        <v>1</v>
      </c>
      <c r="Q38" s="10" t="s">
        <v>302</v>
      </c>
      <c r="R38" s="10">
        <v>2</v>
      </c>
    </row>
    <row r="39" spans="2:18" x14ac:dyDescent="0.25">
      <c r="B39" s="10" t="s">
        <v>65</v>
      </c>
      <c r="C39" s="10">
        <v>2</v>
      </c>
      <c r="D39" s="10" t="s">
        <v>584</v>
      </c>
      <c r="E39" s="10">
        <v>4</v>
      </c>
      <c r="F39" s="10" t="s">
        <v>565</v>
      </c>
      <c r="G39" s="10">
        <v>3</v>
      </c>
      <c r="H39" s="15" t="s">
        <v>1060</v>
      </c>
      <c r="I39" s="14">
        <v>2</v>
      </c>
      <c r="K39" s="8" t="s">
        <v>913</v>
      </c>
      <c r="L39" s="10">
        <v>1</v>
      </c>
      <c r="M39" s="10" t="s">
        <v>981</v>
      </c>
      <c r="N39" s="10">
        <v>3</v>
      </c>
      <c r="O39" s="8" t="s">
        <v>300</v>
      </c>
      <c r="P39" s="10">
        <v>2</v>
      </c>
      <c r="Q39" s="10" t="s">
        <v>978</v>
      </c>
      <c r="R39" s="10">
        <v>3</v>
      </c>
    </row>
    <row r="40" spans="2:18" x14ac:dyDescent="0.25">
      <c r="B40" s="10" t="s">
        <v>475</v>
      </c>
      <c r="C40" s="10">
        <v>2</v>
      </c>
      <c r="D40" s="10" t="s">
        <v>1451</v>
      </c>
      <c r="E40" s="10">
        <v>1</v>
      </c>
      <c r="F40" s="10" t="s">
        <v>582</v>
      </c>
      <c r="G40" s="10">
        <v>4</v>
      </c>
      <c r="H40" s="15" t="s">
        <v>566</v>
      </c>
      <c r="I40" s="14">
        <v>3</v>
      </c>
      <c r="K40" s="8" t="s">
        <v>300</v>
      </c>
      <c r="L40" s="10">
        <v>2</v>
      </c>
      <c r="M40" s="10" t="s">
        <v>1303</v>
      </c>
      <c r="N40" s="10">
        <v>4</v>
      </c>
      <c r="O40" s="8" t="s">
        <v>980</v>
      </c>
      <c r="P40" s="10">
        <v>3</v>
      </c>
      <c r="Q40" s="10" t="s">
        <v>1306</v>
      </c>
      <c r="R40" s="10">
        <v>4</v>
      </c>
    </row>
    <row r="41" spans="2:18" x14ac:dyDescent="0.25">
      <c r="B41" s="11" t="s">
        <v>1363</v>
      </c>
      <c r="C41" s="11">
        <v>1</v>
      </c>
      <c r="D41" s="10" t="s">
        <v>1045</v>
      </c>
      <c r="E41" s="10">
        <v>1</v>
      </c>
      <c r="F41" s="10" t="s">
        <v>1047</v>
      </c>
      <c r="G41" s="10">
        <v>1</v>
      </c>
      <c r="H41" s="15" t="s">
        <v>581</v>
      </c>
      <c r="I41" s="14">
        <v>4</v>
      </c>
      <c r="K41" s="8" t="s">
        <v>980</v>
      </c>
      <c r="L41" s="10">
        <v>3</v>
      </c>
      <c r="M41" s="10" t="s">
        <v>1851</v>
      </c>
      <c r="N41" s="10">
        <v>3</v>
      </c>
      <c r="O41" s="8" t="s">
        <v>1304</v>
      </c>
      <c r="P41" s="10">
        <v>4</v>
      </c>
      <c r="Q41" s="4" t="s">
        <v>312</v>
      </c>
      <c r="R41" s="10">
        <v>1</v>
      </c>
    </row>
    <row r="42" spans="2:18" x14ac:dyDescent="0.25">
      <c r="B42" s="10" t="s">
        <v>1044</v>
      </c>
      <c r="C42" s="10">
        <v>1</v>
      </c>
      <c r="D42" s="10" t="s">
        <v>315</v>
      </c>
      <c r="E42" s="10">
        <v>2</v>
      </c>
      <c r="F42" s="10" t="s">
        <v>313</v>
      </c>
      <c r="G42" s="10">
        <v>2</v>
      </c>
      <c r="H42" s="10" t="s">
        <v>1048</v>
      </c>
      <c r="I42" s="10">
        <v>1</v>
      </c>
      <c r="K42" s="8" t="s">
        <v>1304</v>
      </c>
      <c r="L42" s="10">
        <v>4</v>
      </c>
      <c r="M42" s="10" t="s">
        <v>1776</v>
      </c>
      <c r="N42" s="10">
        <v>4</v>
      </c>
      <c r="O42" s="10" t="s">
        <v>1507</v>
      </c>
      <c r="P42" s="10">
        <v>1</v>
      </c>
      <c r="Q42" s="4" t="s">
        <v>301</v>
      </c>
      <c r="R42" s="10">
        <v>2</v>
      </c>
    </row>
    <row r="43" spans="2:18" x14ac:dyDescent="0.25">
      <c r="B43" s="10" t="s">
        <v>316</v>
      </c>
      <c r="C43" s="10">
        <v>2</v>
      </c>
      <c r="D43" s="10" t="s">
        <v>562</v>
      </c>
      <c r="E43" s="10">
        <v>3</v>
      </c>
      <c r="F43" s="10" t="s">
        <v>564</v>
      </c>
      <c r="G43" s="10">
        <v>3</v>
      </c>
      <c r="H43" s="10" t="s">
        <v>1061</v>
      </c>
      <c r="I43" s="10">
        <v>2</v>
      </c>
      <c r="K43" s="10" t="s">
        <v>914</v>
      </c>
      <c r="L43" s="10">
        <v>1</v>
      </c>
      <c r="M43" s="10" t="s">
        <v>1176</v>
      </c>
      <c r="N43" s="10">
        <v>2</v>
      </c>
      <c r="O43" s="10" t="s">
        <v>1508</v>
      </c>
      <c r="P43" s="10">
        <v>2</v>
      </c>
      <c r="Q43" s="4" t="s">
        <v>979</v>
      </c>
      <c r="R43" s="10">
        <v>3</v>
      </c>
    </row>
    <row r="44" spans="2:18" x14ac:dyDescent="0.25">
      <c r="B44" s="10" t="s">
        <v>561</v>
      </c>
      <c r="C44" s="10">
        <v>3</v>
      </c>
      <c r="D44" s="10" t="s">
        <v>585</v>
      </c>
      <c r="E44" s="10">
        <v>4</v>
      </c>
      <c r="F44" s="10" t="s">
        <v>583</v>
      </c>
      <c r="G44" s="10">
        <v>4</v>
      </c>
      <c r="H44" s="10" t="s">
        <v>565</v>
      </c>
      <c r="I44" s="10">
        <v>3</v>
      </c>
      <c r="K44" s="10" t="s">
        <v>299</v>
      </c>
      <c r="L44" s="10">
        <v>2</v>
      </c>
      <c r="M44" s="4" t="s">
        <v>915</v>
      </c>
      <c r="N44" s="10">
        <v>1</v>
      </c>
      <c r="O44" s="10" t="s">
        <v>1509</v>
      </c>
      <c r="P44" s="10">
        <v>3</v>
      </c>
      <c r="Q44" s="4" t="s">
        <v>1305</v>
      </c>
      <c r="R44" s="10">
        <v>4</v>
      </c>
    </row>
    <row r="45" spans="2:18" x14ac:dyDescent="0.25">
      <c r="B45" s="10" t="s">
        <v>586</v>
      </c>
      <c r="C45" s="10">
        <v>4</v>
      </c>
      <c r="D45" s="10" t="s">
        <v>757</v>
      </c>
      <c r="E45" s="10">
        <v>4</v>
      </c>
      <c r="F45" s="10" t="s">
        <v>1046</v>
      </c>
      <c r="G45" s="10">
        <v>1</v>
      </c>
      <c r="H45" s="10" t="s">
        <v>582</v>
      </c>
      <c r="I45" s="10">
        <v>4</v>
      </c>
      <c r="K45" s="10" t="s">
        <v>981</v>
      </c>
      <c r="L45" s="10">
        <v>3</v>
      </c>
      <c r="M45" s="4" t="s">
        <v>298</v>
      </c>
      <c r="N45" s="10">
        <v>2</v>
      </c>
      <c r="O45" s="10" t="s">
        <v>1510</v>
      </c>
      <c r="P45" s="10">
        <v>4</v>
      </c>
      <c r="Q45" s="10" t="s">
        <v>1775</v>
      </c>
      <c r="R45" s="10">
        <v>4</v>
      </c>
    </row>
    <row r="46" spans="2:18" x14ac:dyDescent="0.25">
      <c r="B46" s="11" t="s">
        <v>1841</v>
      </c>
      <c r="C46" s="11">
        <v>2</v>
      </c>
      <c r="D46" s="10" t="s">
        <v>1452</v>
      </c>
      <c r="E46" s="10">
        <v>1</v>
      </c>
      <c r="F46" s="10" t="s">
        <v>314</v>
      </c>
      <c r="G46" s="10">
        <v>2</v>
      </c>
      <c r="H46" s="10" t="s">
        <v>1047</v>
      </c>
      <c r="I46" s="10">
        <v>1</v>
      </c>
      <c r="K46" s="10" t="s">
        <v>1303</v>
      </c>
      <c r="L46" s="10">
        <v>4</v>
      </c>
      <c r="M46" s="4" t="s">
        <v>982</v>
      </c>
      <c r="N46" s="10">
        <v>3</v>
      </c>
      <c r="O46" s="10" t="s">
        <v>914</v>
      </c>
      <c r="P46" s="10">
        <v>1</v>
      </c>
      <c r="Q46" s="8" t="s">
        <v>913</v>
      </c>
      <c r="R46" s="10">
        <v>1</v>
      </c>
    </row>
    <row r="47" spans="2:18" x14ac:dyDescent="0.25">
      <c r="B47" s="10" t="s">
        <v>1042</v>
      </c>
      <c r="C47" s="10">
        <v>1</v>
      </c>
      <c r="D47" s="10" t="s">
        <v>65</v>
      </c>
      <c r="E47" s="10">
        <v>2</v>
      </c>
      <c r="F47" s="10" t="s">
        <v>563</v>
      </c>
      <c r="G47" s="10">
        <v>3</v>
      </c>
      <c r="H47" s="10" t="s">
        <v>313</v>
      </c>
      <c r="I47" s="10">
        <v>2</v>
      </c>
      <c r="K47" s="10" t="s">
        <v>1851</v>
      </c>
      <c r="L47" s="10">
        <v>3</v>
      </c>
      <c r="M47" s="4" t="s">
        <v>1302</v>
      </c>
      <c r="N47" s="10">
        <v>4</v>
      </c>
      <c r="O47" s="10" t="s">
        <v>299</v>
      </c>
      <c r="P47" s="10">
        <v>2</v>
      </c>
      <c r="Q47" s="8" t="s">
        <v>300</v>
      </c>
      <c r="R47" s="10">
        <v>2</v>
      </c>
    </row>
    <row r="48" spans="2:18" x14ac:dyDescent="0.25">
      <c r="B48" s="10" t="s">
        <v>318</v>
      </c>
      <c r="C48" s="10">
        <v>2</v>
      </c>
      <c r="D48" s="11" t="s">
        <v>1363</v>
      </c>
      <c r="E48" s="11">
        <v>1</v>
      </c>
      <c r="F48" s="10" t="s">
        <v>584</v>
      </c>
      <c r="G48" s="10">
        <v>4</v>
      </c>
      <c r="H48" s="10" t="s">
        <v>564</v>
      </c>
      <c r="I48" s="10">
        <v>3</v>
      </c>
      <c r="K48" s="10" t="s">
        <v>1776</v>
      </c>
      <c r="L48" s="10">
        <v>4</v>
      </c>
      <c r="M48" s="4" t="s">
        <v>916</v>
      </c>
      <c r="N48" s="10">
        <v>1</v>
      </c>
      <c r="O48" s="10" t="s">
        <v>981</v>
      </c>
      <c r="P48" s="10">
        <v>3</v>
      </c>
      <c r="Q48" s="8" t="s">
        <v>980</v>
      </c>
      <c r="R48" s="10">
        <v>3</v>
      </c>
    </row>
    <row r="49" spans="2:18" x14ac:dyDescent="0.25">
      <c r="B49" s="10" t="s">
        <v>559</v>
      </c>
      <c r="C49" s="10">
        <v>3</v>
      </c>
      <c r="D49" s="10" t="s">
        <v>1044</v>
      </c>
      <c r="E49" s="10">
        <v>1</v>
      </c>
      <c r="F49" s="10" t="s">
        <v>1451</v>
      </c>
      <c r="G49" s="10">
        <v>1</v>
      </c>
      <c r="H49" s="10" t="s">
        <v>583</v>
      </c>
      <c r="I49" s="10">
        <v>4</v>
      </c>
      <c r="K49" s="10" t="s">
        <v>1176</v>
      </c>
      <c r="L49" s="10">
        <v>2</v>
      </c>
      <c r="M49" s="4" t="s">
        <v>289</v>
      </c>
      <c r="N49" s="10">
        <v>2</v>
      </c>
      <c r="O49" s="10" t="s">
        <v>1303</v>
      </c>
      <c r="P49" s="10">
        <v>4</v>
      </c>
      <c r="Q49" s="8" t="s">
        <v>1304</v>
      </c>
      <c r="R49" s="10">
        <v>4</v>
      </c>
    </row>
    <row r="50" spans="2:18" x14ac:dyDescent="0.25">
      <c r="B50" s="10" t="s">
        <v>2</v>
      </c>
      <c r="C50" s="10">
        <v>4</v>
      </c>
      <c r="D50" s="10" t="s">
        <v>316</v>
      </c>
      <c r="E50" s="10">
        <v>2</v>
      </c>
      <c r="F50" s="10" t="s">
        <v>1045</v>
      </c>
      <c r="G50" s="10">
        <v>1</v>
      </c>
      <c r="H50" s="10" t="s">
        <v>1046</v>
      </c>
      <c r="I50" s="10">
        <v>1</v>
      </c>
      <c r="K50" s="4" t="s">
        <v>915</v>
      </c>
      <c r="L50" s="10">
        <v>1</v>
      </c>
      <c r="M50" s="4" t="s">
        <v>983</v>
      </c>
      <c r="N50" s="10">
        <v>3</v>
      </c>
      <c r="O50" s="10" t="s">
        <v>1851</v>
      </c>
      <c r="P50" s="10">
        <v>3</v>
      </c>
      <c r="Q50" s="10" t="s">
        <v>914</v>
      </c>
      <c r="R50" s="10">
        <v>1</v>
      </c>
    </row>
    <row r="51" spans="2:18" x14ac:dyDescent="0.25">
      <c r="B51" s="10" t="s">
        <v>1852</v>
      </c>
      <c r="C51" s="10">
        <v>3</v>
      </c>
      <c r="D51" s="10" t="s">
        <v>561</v>
      </c>
      <c r="E51" s="10">
        <v>3</v>
      </c>
      <c r="F51" s="10" t="s">
        <v>315</v>
      </c>
      <c r="G51" s="10">
        <v>2</v>
      </c>
      <c r="H51" s="10" t="s">
        <v>314</v>
      </c>
      <c r="I51" s="10">
        <v>2</v>
      </c>
      <c r="K51" s="4" t="s">
        <v>298</v>
      </c>
      <c r="L51" s="10">
        <v>2</v>
      </c>
      <c r="M51" s="4" t="s">
        <v>1301</v>
      </c>
      <c r="N51" s="10">
        <v>4</v>
      </c>
      <c r="O51" s="10" t="s">
        <v>1776</v>
      </c>
      <c r="P51" s="10">
        <v>4</v>
      </c>
      <c r="Q51" s="10" t="s">
        <v>299</v>
      </c>
      <c r="R51" s="10">
        <v>2</v>
      </c>
    </row>
    <row r="52" spans="2:18" x14ac:dyDescent="0.25">
      <c r="B52" s="11" t="s">
        <v>886</v>
      </c>
      <c r="C52" s="11">
        <v>4</v>
      </c>
      <c r="D52" s="10" t="s">
        <v>586</v>
      </c>
      <c r="E52" s="10">
        <v>4</v>
      </c>
      <c r="F52" s="10" t="s">
        <v>562</v>
      </c>
      <c r="G52" s="10">
        <v>3</v>
      </c>
      <c r="H52" s="10" t="s">
        <v>563</v>
      </c>
      <c r="I52" s="10">
        <v>3</v>
      </c>
      <c r="K52" s="4" t="s">
        <v>982</v>
      </c>
      <c r="L52" s="10">
        <v>3</v>
      </c>
      <c r="M52" s="10" t="s">
        <v>474</v>
      </c>
      <c r="N52" s="10">
        <v>2</v>
      </c>
      <c r="O52" s="10" t="s">
        <v>1176</v>
      </c>
      <c r="P52" s="10">
        <v>2</v>
      </c>
      <c r="Q52" s="10" t="s">
        <v>981</v>
      </c>
      <c r="R52" s="10">
        <v>3</v>
      </c>
    </row>
    <row r="53" spans="2:18" x14ac:dyDescent="0.25">
      <c r="B53" s="11" t="s">
        <v>1380</v>
      </c>
      <c r="C53" s="11">
        <v>4</v>
      </c>
      <c r="D53" s="11" t="s">
        <v>1841</v>
      </c>
      <c r="E53" s="11">
        <v>2</v>
      </c>
      <c r="F53" s="10" t="s">
        <v>585</v>
      </c>
      <c r="G53" s="10">
        <v>4</v>
      </c>
      <c r="H53" s="10" t="s">
        <v>584</v>
      </c>
      <c r="I53" s="10">
        <v>4</v>
      </c>
      <c r="K53" s="4" t="s">
        <v>1302</v>
      </c>
      <c r="L53" s="10">
        <v>4</v>
      </c>
      <c r="M53" s="10" t="s">
        <v>917</v>
      </c>
      <c r="N53" s="10">
        <v>1</v>
      </c>
      <c r="O53" s="4" t="s">
        <v>915</v>
      </c>
      <c r="P53" s="10">
        <v>1</v>
      </c>
      <c r="Q53" s="10" t="s">
        <v>1303</v>
      </c>
      <c r="R53" s="10">
        <v>4</v>
      </c>
    </row>
    <row r="54" spans="2:18" x14ac:dyDescent="0.25">
      <c r="B54" s="213" t="s">
        <v>2059</v>
      </c>
      <c r="C54" s="213">
        <v>2</v>
      </c>
      <c r="D54" s="11" t="s">
        <v>1043</v>
      </c>
      <c r="E54" s="10">
        <v>1</v>
      </c>
      <c r="F54" s="10" t="s">
        <v>757</v>
      </c>
      <c r="G54" s="10">
        <v>4</v>
      </c>
      <c r="H54" s="14" t="s">
        <v>1451</v>
      </c>
      <c r="I54" s="14">
        <v>1</v>
      </c>
      <c r="K54" s="10" t="s">
        <v>472</v>
      </c>
      <c r="L54" s="10">
        <v>2</v>
      </c>
      <c r="M54" s="10" t="s">
        <v>288</v>
      </c>
      <c r="N54" s="10">
        <v>2</v>
      </c>
      <c r="O54" s="4" t="s">
        <v>298</v>
      </c>
      <c r="P54" s="10">
        <v>2</v>
      </c>
      <c r="Q54" s="10" t="s">
        <v>1851</v>
      </c>
      <c r="R54" s="10">
        <v>3</v>
      </c>
    </row>
    <row r="55" spans="2:18" x14ac:dyDescent="0.25">
      <c r="B55" s="10" t="s">
        <v>1040</v>
      </c>
      <c r="C55" s="10">
        <v>1</v>
      </c>
      <c r="D55" s="11" t="s">
        <v>317</v>
      </c>
      <c r="E55" s="10">
        <v>2</v>
      </c>
      <c r="F55" s="10" t="s">
        <v>1452</v>
      </c>
      <c r="G55" s="10">
        <v>1</v>
      </c>
      <c r="H55" s="10" t="s">
        <v>1045</v>
      </c>
      <c r="I55" s="10">
        <v>1</v>
      </c>
      <c r="K55" s="4" t="s">
        <v>916</v>
      </c>
      <c r="L55" s="10">
        <v>1</v>
      </c>
      <c r="M55" s="10" t="s">
        <v>984</v>
      </c>
      <c r="N55" s="10">
        <v>3</v>
      </c>
      <c r="O55" s="4" t="s">
        <v>982</v>
      </c>
      <c r="P55" s="10">
        <v>3</v>
      </c>
      <c r="Q55" s="10" t="s">
        <v>1776</v>
      </c>
      <c r="R55" s="10">
        <v>4</v>
      </c>
    </row>
    <row r="56" spans="2:18" x14ac:dyDescent="0.25">
      <c r="B56" s="10" t="s">
        <v>1646</v>
      </c>
      <c r="C56" s="10">
        <v>2</v>
      </c>
      <c r="D56" s="11" t="s">
        <v>560</v>
      </c>
      <c r="E56" s="10">
        <v>3</v>
      </c>
      <c r="F56" s="10" t="s">
        <v>65</v>
      </c>
      <c r="G56" s="10">
        <v>2</v>
      </c>
      <c r="H56" s="10" t="s">
        <v>315</v>
      </c>
      <c r="I56" s="10">
        <v>2</v>
      </c>
      <c r="K56" s="4" t="s">
        <v>289</v>
      </c>
      <c r="L56" s="10">
        <v>2</v>
      </c>
      <c r="M56" s="10" t="s">
        <v>1300</v>
      </c>
      <c r="N56" s="10">
        <v>4</v>
      </c>
      <c r="O56" s="4" t="s">
        <v>1302</v>
      </c>
      <c r="P56" s="10">
        <v>4</v>
      </c>
      <c r="Q56" s="10" t="s">
        <v>1176</v>
      </c>
      <c r="R56" s="10">
        <v>2</v>
      </c>
    </row>
    <row r="57" spans="2:18" x14ac:dyDescent="0.25">
      <c r="B57" s="10" t="s">
        <v>5</v>
      </c>
      <c r="C57" s="10">
        <v>3</v>
      </c>
      <c r="D57" s="11" t="s">
        <v>3</v>
      </c>
      <c r="E57" s="10">
        <v>4</v>
      </c>
      <c r="F57" s="11" t="s">
        <v>1363</v>
      </c>
      <c r="G57" s="11">
        <v>1</v>
      </c>
      <c r="H57" s="10" t="s">
        <v>562</v>
      </c>
      <c r="I57" s="10">
        <v>3</v>
      </c>
      <c r="K57" s="4" t="s">
        <v>983</v>
      </c>
      <c r="L57" s="10">
        <v>3</v>
      </c>
      <c r="M57" s="10" t="s">
        <v>919</v>
      </c>
      <c r="N57" s="10">
        <v>1</v>
      </c>
      <c r="O57" s="4" t="s">
        <v>916</v>
      </c>
      <c r="P57" s="10">
        <v>1</v>
      </c>
      <c r="Q57" s="4" t="s">
        <v>915</v>
      </c>
      <c r="R57" s="10">
        <v>1</v>
      </c>
    </row>
    <row r="58" spans="2:18" x14ac:dyDescent="0.25">
      <c r="B58" s="10" t="s">
        <v>6</v>
      </c>
      <c r="C58" s="10">
        <v>4</v>
      </c>
      <c r="D58" s="10" t="s">
        <v>1042</v>
      </c>
      <c r="E58" s="10">
        <v>1</v>
      </c>
      <c r="F58" s="10" t="s">
        <v>1044</v>
      </c>
      <c r="G58" s="10">
        <v>1</v>
      </c>
      <c r="H58" s="10" t="s">
        <v>585</v>
      </c>
      <c r="I58" s="10">
        <v>4</v>
      </c>
      <c r="K58" s="4" t="s">
        <v>1301</v>
      </c>
      <c r="L58" s="10">
        <v>4</v>
      </c>
      <c r="M58" s="10" t="s">
        <v>287</v>
      </c>
      <c r="N58" s="10">
        <v>2</v>
      </c>
      <c r="O58" s="4" t="s">
        <v>289</v>
      </c>
      <c r="P58" s="10">
        <v>2</v>
      </c>
      <c r="Q58" s="4" t="s">
        <v>298</v>
      </c>
      <c r="R58" s="10">
        <v>2</v>
      </c>
    </row>
    <row r="59" spans="2:18" x14ac:dyDescent="0.25">
      <c r="B59" s="11" t="s">
        <v>1039</v>
      </c>
      <c r="C59" s="10">
        <v>1</v>
      </c>
      <c r="D59" s="10" t="s">
        <v>318</v>
      </c>
      <c r="E59" s="10">
        <v>2</v>
      </c>
      <c r="F59" s="10" t="s">
        <v>316</v>
      </c>
      <c r="G59" s="10">
        <v>2</v>
      </c>
      <c r="H59" s="10" t="s">
        <v>757</v>
      </c>
      <c r="I59" s="10">
        <v>4</v>
      </c>
      <c r="K59" s="10" t="s">
        <v>474</v>
      </c>
      <c r="L59" s="10">
        <v>2</v>
      </c>
      <c r="M59" s="10" t="s">
        <v>332</v>
      </c>
      <c r="N59" s="10">
        <v>3</v>
      </c>
      <c r="O59" s="4" t="s">
        <v>983</v>
      </c>
      <c r="P59" s="10">
        <v>3</v>
      </c>
      <c r="Q59" s="4" t="s">
        <v>982</v>
      </c>
      <c r="R59" s="10">
        <v>3</v>
      </c>
    </row>
    <row r="60" spans="2:18" x14ac:dyDescent="0.25">
      <c r="B60" s="11" t="s">
        <v>1647</v>
      </c>
      <c r="C60" s="10">
        <v>2</v>
      </c>
      <c r="D60" s="10" t="s">
        <v>559</v>
      </c>
      <c r="E60" s="10">
        <v>3</v>
      </c>
      <c r="F60" s="10" t="s">
        <v>561</v>
      </c>
      <c r="G60" s="10">
        <v>3</v>
      </c>
      <c r="H60" s="14" t="s">
        <v>1452</v>
      </c>
      <c r="I60" s="14">
        <v>1</v>
      </c>
      <c r="K60" s="10" t="s">
        <v>917</v>
      </c>
      <c r="L60" s="10">
        <v>1</v>
      </c>
      <c r="M60" s="10" t="s">
        <v>1299</v>
      </c>
      <c r="N60" s="10">
        <v>4</v>
      </c>
      <c r="O60" s="4" t="s">
        <v>1301</v>
      </c>
      <c r="P60" s="10">
        <v>4</v>
      </c>
      <c r="Q60" s="4" t="s">
        <v>1302</v>
      </c>
      <c r="R60" s="10">
        <v>4</v>
      </c>
    </row>
    <row r="61" spans="2:18" x14ac:dyDescent="0.25">
      <c r="B61" s="11" t="s">
        <v>557</v>
      </c>
      <c r="C61" s="10">
        <v>3</v>
      </c>
      <c r="D61" s="10" t="s">
        <v>2</v>
      </c>
      <c r="E61" s="10">
        <v>4</v>
      </c>
      <c r="F61" s="10" t="s">
        <v>586</v>
      </c>
      <c r="G61" s="10">
        <v>4</v>
      </c>
      <c r="H61" s="14" t="s">
        <v>65</v>
      </c>
      <c r="I61" s="14">
        <v>2</v>
      </c>
      <c r="K61" s="10" t="s">
        <v>288</v>
      </c>
      <c r="L61" s="10">
        <v>2</v>
      </c>
      <c r="M61" s="10" t="s">
        <v>476</v>
      </c>
      <c r="N61" s="10">
        <v>2</v>
      </c>
      <c r="O61" s="10" t="s">
        <v>474</v>
      </c>
      <c r="P61" s="10">
        <v>2</v>
      </c>
      <c r="Q61" s="14" t="s">
        <v>472</v>
      </c>
      <c r="R61" s="14">
        <v>2</v>
      </c>
    </row>
    <row r="62" spans="2:18" x14ac:dyDescent="0.25">
      <c r="B62" s="11" t="s">
        <v>7</v>
      </c>
      <c r="C62" s="10">
        <v>4</v>
      </c>
      <c r="D62" s="10" t="s">
        <v>1852</v>
      </c>
      <c r="E62" s="10">
        <v>3</v>
      </c>
      <c r="F62" s="11" t="s">
        <v>1841</v>
      </c>
      <c r="G62" s="11">
        <v>2</v>
      </c>
      <c r="H62" s="10" t="s">
        <v>475</v>
      </c>
      <c r="I62" s="10">
        <v>2</v>
      </c>
      <c r="K62" s="10" t="s">
        <v>984</v>
      </c>
      <c r="L62" s="10">
        <v>3</v>
      </c>
      <c r="M62" s="10" t="s">
        <v>918</v>
      </c>
      <c r="N62" s="10">
        <v>1</v>
      </c>
      <c r="O62" s="10" t="s">
        <v>917</v>
      </c>
      <c r="P62" s="10">
        <v>1</v>
      </c>
      <c r="Q62" s="4" t="s">
        <v>916</v>
      </c>
      <c r="R62" s="10">
        <v>1</v>
      </c>
    </row>
    <row r="63" spans="2:18" x14ac:dyDescent="0.25">
      <c r="B63" s="11" t="s">
        <v>1038</v>
      </c>
      <c r="C63" s="10">
        <v>1</v>
      </c>
      <c r="D63" s="11" t="s">
        <v>886</v>
      </c>
      <c r="E63" s="11">
        <v>4</v>
      </c>
      <c r="F63" s="11" t="s">
        <v>1043</v>
      </c>
      <c r="G63" s="10">
        <v>1</v>
      </c>
      <c r="H63" s="11" t="s">
        <v>1363</v>
      </c>
      <c r="I63" s="11">
        <v>1</v>
      </c>
      <c r="K63" s="10" t="s">
        <v>1300</v>
      </c>
      <c r="L63" s="10">
        <v>4</v>
      </c>
      <c r="M63" s="10" t="s">
        <v>286</v>
      </c>
      <c r="N63" s="10">
        <v>2</v>
      </c>
      <c r="O63" s="10" t="s">
        <v>288</v>
      </c>
      <c r="P63" s="10">
        <v>2</v>
      </c>
      <c r="Q63" s="4" t="s">
        <v>289</v>
      </c>
      <c r="R63" s="10">
        <v>2</v>
      </c>
    </row>
    <row r="64" spans="2:18" x14ac:dyDescent="0.25">
      <c r="B64" s="11" t="s">
        <v>1648</v>
      </c>
      <c r="C64" s="10">
        <v>2</v>
      </c>
      <c r="D64" s="10" t="s">
        <v>1541</v>
      </c>
      <c r="E64" s="10">
        <v>2</v>
      </c>
      <c r="F64" s="11" t="s">
        <v>317</v>
      </c>
      <c r="G64" s="10">
        <v>2</v>
      </c>
      <c r="H64" s="10" t="s">
        <v>1044</v>
      </c>
      <c r="I64" s="10">
        <v>1</v>
      </c>
      <c r="K64" s="10" t="s">
        <v>919</v>
      </c>
      <c r="L64" s="10">
        <v>1</v>
      </c>
      <c r="M64" s="10" t="s">
        <v>333</v>
      </c>
      <c r="N64" s="10">
        <v>3</v>
      </c>
      <c r="O64" s="10" t="s">
        <v>984</v>
      </c>
      <c r="P64" s="10">
        <v>3</v>
      </c>
      <c r="Q64" s="4" t="s">
        <v>983</v>
      </c>
      <c r="R64" s="10">
        <v>3</v>
      </c>
    </row>
    <row r="65" spans="2:18" x14ac:dyDescent="0.25">
      <c r="B65" s="11" t="s">
        <v>556</v>
      </c>
      <c r="C65" s="10">
        <v>3</v>
      </c>
      <c r="D65" s="10" t="s">
        <v>1542</v>
      </c>
      <c r="E65" s="10">
        <v>4</v>
      </c>
      <c r="F65" s="11" t="s">
        <v>560</v>
      </c>
      <c r="G65" s="10">
        <v>3</v>
      </c>
      <c r="H65" s="10" t="s">
        <v>316</v>
      </c>
      <c r="I65" s="10">
        <v>2</v>
      </c>
      <c r="K65" s="10" t="s">
        <v>287</v>
      </c>
      <c r="L65" s="10">
        <v>2</v>
      </c>
      <c r="M65" s="10" t="s">
        <v>1298</v>
      </c>
      <c r="N65" s="10">
        <v>4</v>
      </c>
      <c r="O65" s="10" t="s">
        <v>1300</v>
      </c>
      <c r="P65" s="10">
        <v>4</v>
      </c>
      <c r="Q65" s="4" t="s">
        <v>1301</v>
      </c>
      <c r="R65" s="10">
        <v>4</v>
      </c>
    </row>
    <row r="66" spans="2:18" x14ac:dyDescent="0.25">
      <c r="B66" s="11" t="s">
        <v>8</v>
      </c>
      <c r="C66" s="10">
        <v>4</v>
      </c>
      <c r="D66" s="11" t="s">
        <v>1380</v>
      </c>
      <c r="E66" s="11">
        <v>4</v>
      </c>
      <c r="F66" s="11" t="s">
        <v>3</v>
      </c>
      <c r="G66" s="10">
        <v>4</v>
      </c>
      <c r="H66" s="10" t="s">
        <v>561</v>
      </c>
      <c r="I66" s="10">
        <v>3</v>
      </c>
      <c r="K66" s="10" t="s">
        <v>332</v>
      </c>
      <c r="L66" s="10">
        <v>3</v>
      </c>
      <c r="M66" s="8" t="s">
        <v>774</v>
      </c>
      <c r="N66" s="8">
        <v>2</v>
      </c>
      <c r="O66" s="10" t="s">
        <v>919</v>
      </c>
      <c r="P66" s="10">
        <v>1</v>
      </c>
      <c r="Q66" s="10" t="s">
        <v>474</v>
      </c>
      <c r="R66" s="10">
        <v>2</v>
      </c>
    </row>
    <row r="67" spans="2:18" x14ac:dyDescent="0.25">
      <c r="B67" s="10" t="s">
        <v>1037</v>
      </c>
      <c r="C67" s="10">
        <v>1</v>
      </c>
      <c r="D67" s="10" t="s">
        <v>1041</v>
      </c>
      <c r="E67" s="10">
        <v>1</v>
      </c>
      <c r="F67" s="10" t="s">
        <v>1042</v>
      </c>
      <c r="G67" s="10">
        <v>1</v>
      </c>
      <c r="H67" s="10" t="s">
        <v>586</v>
      </c>
      <c r="I67" s="10">
        <v>4</v>
      </c>
      <c r="K67" s="10" t="s">
        <v>1299</v>
      </c>
      <c r="L67" s="10">
        <v>4</v>
      </c>
      <c r="M67" s="10" t="s">
        <v>1951</v>
      </c>
      <c r="N67" s="10">
        <v>1</v>
      </c>
      <c r="O67" s="10" t="s">
        <v>287</v>
      </c>
      <c r="P67" s="10">
        <v>2</v>
      </c>
      <c r="Q67" s="10" t="s">
        <v>917</v>
      </c>
      <c r="R67" s="10">
        <v>1</v>
      </c>
    </row>
    <row r="68" spans="2:18" x14ac:dyDescent="0.25">
      <c r="B68" s="10" t="s">
        <v>1649</v>
      </c>
      <c r="C68" s="10">
        <v>2</v>
      </c>
      <c r="D68" s="10" t="s">
        <v>1645</v>
      </c>
      <c r="E68" s="10">
        <v>2</v>
      </c>
      <c r="F68" s="10" t="s">
        <v>318</v>
      </c>
      <c r="G68" s="10">
        <v>2</v>
      </c>
      <c r="H68" s="11" t="s">
        <v>1841</v>
      </c>
      <c r="I68" s="11">
        <v>2</v>
      </c>
      <c r="K68" s="10" t="s">
        <v>918</v>
      </c>
      <c r="L68" s="10">
        <v>1</v>
      </c>
      <c r="M68" s="4" t="s">
        <v>1685</v>
      </c>
      <c r="N68" s="4">
        <v>3</v>
      </c>
      <c r="O68" s="10" t="s">
        <v>332</v>
      </c>
      <c r="P68" s="10">
        <v>3</v>
      </c>
      <c r="Q68" s="10" t="s">
        <v>288</v>
      </c>
      <c r="R68" s="10">
        <v>2</v>
      </c>
    </row>
    <row r="69" spans="2:18" x14ac:dyDescent="0.25">
      <c r="B69" s="10" t="s">
        <v>555</v>
      </c>
      <c r="C69" s="10">
        <v>3</v>
      </c>
      <c r="D69" s="10" t="s">
        <v>558</v>
      </c>
      <c r="E69" s="10">
        <v>3</v>
      </c>
      <c r="F69" s="10" t="s">
        <v>559</v>
      </c>
      <c r="G69" s="10">
        <v>3</v>
      </c>
      <c r="H69" s="11" t="s">
        <v>1043</v>
      </c>
      <c r="I69" s="10">
        <v>1</v>
      </c>
      <c r="K69" s="10" t="s">
        <v>286</v>
      </c>
      <c r="L69" s="10">
        <v>2</v>
      </c>
      <c r="M69" s="10" t="s">
        <v>920</v>
      </c>
      <c r="N69" s="10">
        <v>1</v>
      </c>
      <c r="O69" s="10" t="s">
        <v>1299</v>
      </c>
      <c r="P69" s="10">
        <v>4</v>
      </c>
      <c r="Q69" s="10" t="s">
        <v>984</v>
      </c>
      <c r="R69" s="10">
        <v>3</v>
      </c>
    </row>
    <row r="70" spans="2:18" x14ac:dyDescent="0.25">
      <c r="B70" s="10" t="s">
        <v>9</v>
      </c>
      <c r="C70" s="10">
        <v>4</v>
      </c>
      <c r="D70" s="10" t="s">
        <v>4</v>
      </c>
      <c r="E70" s="10">
        <v>4</v>
      </c>
      <c r="F70" s="10" t="s">
        <v>2</v>
      </c>
      <c r="G70" s="10">
        <v>4</v>
      </c>
      <c r="H70" s="11" t="s">
        <v>317</v>
      </c>
      <c r="I70" s="10">
        <v>2</v>
      </c>
      <c r="K70" s="10" t="s">
        <v>333</v>
      </c>
      <c r="L70" s="10">
        <v>3</v>
      </c>
      <c r="M70" s="10" t="s">
        <v>285</v>
      </c>
      <c r="N70" s="10">
        <v>2</v>
      </c>
      <c r="O70" s="10" t="s">
        <v>476</v>
      </c>
      <c r="P70" s="10">
        <v>2</v>
      </c>
      <c r="Q70" s="10" t="s">
        <v>1300</v>
      </c>
      <c r="R70" s="10">
        <v>4</v>
      </c>
    </row>
    <row r="71" spans="2:18" x14ac:dyDescent="0.25">
      <c r="B71" s="10" t="s">
        <v>635</v>
      </c>
      <c r="C71" s="10">
        <v>2</v>
      </c>
      <c r="D71" s="213" t="s">
        <v>2059</v>
      </c>
      <c r="E71" s="213">
        <v>2</v>
      </c>
      <c r="F71" s="10" t="s">
        <v>1852</v>
      </c>
      <c r="G71" s="10">
        <v>3</v>
      </c>
      <c r="H71" s="11" t="s">
        <v>560</v>
      </c>
      <c r="I71" s="10">
        <v>3</v>
      </c>
      <c r="K71" s="10" t="s">
        <v>1298</v>
      </c>
      <c r="L71" s="10">
        <v>4</v>
      </c>
      <c r="M71" s="10" t="s">
        <v>334</v>
      </c>
      <c r="N71" s="10">
        <v>3</v>
      </c>
      <c r="O71" s="10" t="s">
        <v>918</v>
      </c>
      <c r="P71" s="10">
        <v>1</v>
      </c>
      <c r="Q71" s="10" t="s">
        <v>919</v>
      </c>
      <c r="R71" s="10">
        <v>1</v>
      </c>
    </row>
    <row r="72" spans="2:18" x14ac:dyDescent="0.25">
      <c r="B72" s="10" t="s">
        <v>1862</v>
      </c>
      <c r="C72" s="10">
        <v>3</v>
      </c>
      <c r="D72" s="10" t="s">
        <v>1040</v>
      </c>
      <c r="E72" s="10">
        <v>1</v>
      </c>
      <c r="F72" s="11" t="s">
        <v>886</v>
      </c>
      <c r="G72" s="11">
        <v>4</v>
      </c>
      <c r="H72" s="11" t="s">
        <v>3</v>
      </c>
      <c r="I72" s="10">
        <v>4</v>
      </c>
      <c r="K72" s="8" t="s">
        <v>774</v>
      </c>
      <c r="L72" s="8">
        <v>2</v>
      </c>
      <c r="M72" s="10" t="s">
        <v>1297</v>
      </c>
      <c r="N72" s="10">
        <v>4</v>
      </c>
      <c r="O72" s="10" t="s">
        <v>286</v>
      </c>
      <c r="P72" s="10">
        <v>2</v>
      </c>
      <c r="Q72" s="10" t="s">
        <v>287</v>
      </c>
      <c r="R72" s="10">
        <v>2</v>
      </c>
    </row>
    <row r="73" spans="2:18" x14ac:dyDescent="0.25">
      <c r="B73" s="11" t="s">
        <v>1603</v>
      </c>
      <c r="C73" s="11">
        <v>4</v>
      </c>
      <c r="D73" s="10" t="s">
        <v>1646</v>
      </c>
      <c r="E73" s="10">
        <v>2</v>
      </c>
      <c r="F73" s="10" t="s">
        <v>1541</v>
      </c>
      <c r="G73" s="10">
        <v>2</v>
      </c>
      <c r="H73" s="10" t="s">
        <v>1042</v>
      </c>
      <c r="I73" s="10">
        <v>1</v>
      </c>
      <c r="K73" s="10" t="s">
        <v>1951</v>
      </c>
      <c r="L73" s="10">
        <v>1</v>
      </c>
      <c r="M73" s="10" t="s">
        <v>921</v>
      </c>
      <c r="N73" s="10">
        <v>1</v>
      </c>
      <c r="O73" s="10" t="s">
        <v>333</v>
      </c>
      <c r="P73" s="10">
        <v>3</v>
      </c>
      <c r="Q73" s="10" t="s">
        <v>332</v>
      </c>
      <c r="R73" s="10">
        <v>3</v>
      </c>
    </row>
    <row r="74" spans="2:18" x14ac:dyDescent="0.25">
      <c r="B74" s="10" t="s">
        <v>1174</v>
      </c>
      <c r="C74" s="10">
        <v>1</v>
      </c>
      <c r="D74" s="10" t="s">
        <v>5</v>
      </c>
      <c r="E74" s="10">
        <v>3</v>
      </c>
      <c r="F74" s="10" t="s">
        <v>1542</v>
      </c>
      <c r="G74" s="10">
        <v>4</v>
      </c>
      <c r="H74" s="10" t="s">
        <v>318</v>
      </c>
      <c r="I74" s="10">
        <v>2</v>
      </c>
      <c r="K74" s="4" t="s">
        <v>1685</v>
      </c>
      <c r="L74" s="4">
        <v>3</v>
      </c>
      <c r="M74" s="10" t="s">
        <v>284</v>
      </c>
      <c r="N74" s="10">
        <v>2</v>
      </c>
      <c r="O74" s="10" t="s">
        <v>1298</v>
      </c>
      <c r="P74" s="10">
        <v>4</v>
      </c>
      <c r="Q74" s="10" t="s">
        <v>1299</v>
      </c>
      <c r="R74" s="10">
        <v>4</v>
      </c>
    </row>
    <row r="75" spans="2:18" x14ac:dyDescent="0.25">
      <c r="B75" s="10" t="s">
        <v>1036</v>
      </c>
      <c r="C75" s="10">
        <v>1</v>
      </c>
      <c r="D75" s="10" t="s">
        <v>6</v>
      </c>
      <c r="E75" s="10">
        <v>4</v>
      </c>
      <c r="F75" s="11" t="s">
        <v>1380</v>
      </c>
      <c r="G75" s="11">
        <v>4</v>
      </c>
      <c r="H75" s="10" t="s">
        <v>559</v>
      </c>
      <c r="I75" s="10">
        <v>3</v>
      </c>
      <c r="K75" s="10" t="s">
        <v>920</v>
      </c>
      <c r="L75" s="10">
        <v>1</v>
      </c>
      <c r="M75" s="10" t="s">
        <v>335</v>
      </c>
      <c r="N75" s="10">
        <v>3</v>
      </c>
      <c r="O75" s="8" t="s">
        <v>774</v>
      </c>
      <c r="P75" s="8">
        <v>2</v>
      </c>
      <c r="Q75" s="10" t="s">
        <v>1950</v>
      </c>
      <c r="R75" s="10">
        <v>1</v>
      </c>
    </row>
    <row r="76" spans="2:18" x14ac:dyDescent="0.25">
      <c r="B76" s="10" t="s">
        <v>1650</v>
      </c>
      <c r="C76" s="10">
        <v>2</v>
      </c>
      <c r="D76" s="11" t="s">
        <v>1039</v>
      </c>
      <c r="E76" s="10">
        <v>1</v>
      </c>
      <c r="F76" s="10" t="s">
        <v>1041</v>
      </c>
      <c r="G76" s="10">
        <v>1</v>
      </c>
      <c r="H76" s="10" t="s">
        <v>2</v>
      </c>
      <c r="I76" s="10">
        <v>4</v>
      </c>
      <c r="K76" s="10" t="s">
        <v>285</v>
      </c>
      <c r="L76" s="10">
        <v>2</v>
      </c>
      <c r="M76" s="10" t="s">
        <v>336</v>
      </c>
      <c r="N76" s="10">
        <v>4</v>
      </c>
      <c r="O76" s="10" t="s">
        <v>1951</v>
      </c>
      <c r="P76" s="10">
        <v>1</v>
      </c>
      <c r="Q76" s="10" t="s">
        <v>476</v>
      </c>
      <c r="R76" s="10">
        <v>2</v>
      </c>
    </row>
    <row r="77" spans="2:18" x14ac:dyDescent="0.25">
      <c r="B77" s="10" t="s">
        <v>554</v>
      </c>
      <c r="C77" s="10">
        <v>3</v>
      </c>
      <c r="D77" s="11" t="s">
        <v>1647</v>
      </c>
      <c r="E77" s="10">
        <v>2</v>
      </c>
      <c r="F77" s="10" t="s">
        <v>1645</v>
      </c>
      <c r="G77" s="10">
        <v>2</v>
      </c>
      <c r="H77" s="10" t="s">
        <v>1852</v>
      </c>
      <c r="I77" s="10">
        <v>3</v>
      </c>
      <c r="K77" s="10" t="s">
        <v>334</v>
      </c>
      <c r="L77" s="10">
        <v>3</v>
      </c>
      <c r="M77" s="2" t="s">
        <v>1830</v>
      </c>
      <c r="N77" s="2">
        <v>1</v>
      </c>
      <c r="O77" s="4" t="s">
        <v>1685</v>
      </c>
      <c r="P77" s="4">
        <v>3</v>
      </c>
      <c r="Q77" s="14" t="s">
        <v>918</v>
      </c>
      <c r="R77" s="14">
        <v>1</v>
      </c>
    </row>
    <row r="78" spans="2:18" x14ac:dyDescent="0.25">
      <c r="B78" s="10" t="s">
        <v>10</v>
      </c>
      <c r="C78" s="10">
        <v>4</v>
      </c>
      <c r="D78" s="11" t="s">
        <v>557</v>
      </c>
      <c r="E78" s="10">
        <v>3</v>
      </c>
      <c r="F78" s="10" t="s">
        <v>558</v>
      </c>
      <c r="G78" s="10">
        <v>3</v>
      </c>
      <c r="H78" s="11" t="s">
        <v>886</v>
      </c>
      <c r="I78" s="11">
        <v>4</v>
      </c>
      <c r="K78" s="10" t="s">
        <v>1297</v>
      </c>
      <c r="L78" s="10">
        <v>4</v>
      </c>
      <c r="M78" s="4" t="s">
        <v>1604</v>
      </c>
      <c r="N78" s="4">
        <v>4</v>
      </c>
      <c r="O78" s="10" t="s">
        <v>920</v>
      </c>
      <c r="P78" s="10">
        <v>1</v>
      </c>
      <c r="Q78" s="14" t="s">
        <v>286</v>
      </c>
      <c r="R78" s="14">
        <v>2</v>
      </c>
    </row>
    <row r="79" spans="2:18" x14ac:dyDescent="0.25">
      <c r="B79" s="10" t="s">
        <v>1035</v>
      </c>
      <c r="C79" s="10">
        <v>1</v>
      </c>
      <c r="D79" s="11" t="s">
        <v>7</v>
      </c>
      <c r="E79" s="10">
        <v>4</v>
      </c>
      <c r="F79" s="10" t="s">
        <v>4</v>
      </c>
      <c r="G79" s="10">
        <v>4</v>
      </c>
      <c r="H79" s="10" t="s">
        <v>1541</v>
      </c>
      <c r="I79" s="10">
        <v>2</v>
      </c>
      <c r="K79" s="4" t="s">
        <v>1884</v>
      </c>
      <c r="L79" s="4">
        <v>1</v>
      </c>
      <c r="M79" s="10" t="s">
        <v>922</v>
      </c>
      <c r="N79" s="10">
        <v>1</v>
      </c>
      <c r="O79" s="10" t="s">
        <v>285</v>
      </c>
      <c r="P79" s="10">
        <v>2</v>
      </c>
      <c r="Q79" s="14" t="s">
        <v>333</v>
      </c>
      <c r="R79" s="14">
        <v>3</v>
      </c>
    </row>
    <row r="80" spans="2:18" x14ac:dyDescent="0.25">
      <c r="B80" s="10" t="s">
        <v>1651</v>
      </c>
      <c r="C80" s="10">
        <v>2</v>
      </c>
      <c r="D80" s="11" t="s">
        <v>1038</v>
      </c>
      <c r="E80" s="10">
        <v>1</v>
      </c>
      <c r="F80" s="213" t="s">
        <v>2059</v>
      </c>
      <c r="G80" s="213">
        <v>2</v>
      </c>
      <c r="H80" s="10" t="s">
        <v>1542</v>
      </c>
      <c r="I80" s="10">
        <v>4</v>
      </c>
      <c r="K80" s="10" t="s">
        <v>921</v>
      </c>
      <c r="L80" s="10">
        <v>1</v>
      </c>
      <c r="M80" s="10" t="s">
        <v>283</v>
      </c>
      <c r="N80" s="10">
        <v>2</v>
      </c>
      <c r="O80" s="10" t="s">
        <v>334</v>
      </c>
      <c r="P80" s="10">
        <v>3</v>
      </c>
      <c r="Q80" s="14" t="s">
        <v>1298</v>
      </c>
      <c r="R80" s="14">
        <v>4</v>
      </c>
    </row>
    <row r="81" spans="2:18" x14ac:dyDescent="0.25">
      <c r="B81" s="10" t="s">
        <v>11</v>
      </c>
      <c r="C81" s="10">
        <v>3</v>
      </c>
      <c r="D81" s="11" t="s">
        <v>1648</v>
      </c>
      <c r="E81" s="10">
        <v>2</v>
      </c>
      <c r="F81" s="10" t="s">
        <v>633</v>
      </c>
      <c r="G81" s="10">
        <v>2</v>
      </c>
      <c r="H81" s="11" t="s">
        <v>1380</v>
      </c>
      <c r="I81" s="11">
        <v>4</v>
      </c>
      <c r="K81" s="10" t="s">
        <v>284</v>
      </c>
      <c r="L81" s="10">
        <v>2</v>
      </c>
      <c r="M81" s="10" t="s">
        <v>337</v>
      </c>
      <c r="N81" s="10">
        <v>3</v>
      </c>
      <c r="O81" s="10" t="s">
        <v>1297</v>
      </c>
      <c r="P81" s="10">
        <v>4</v>
      </c>
      <c r="Q81" s="18" t="s">
        <v>774</v>
      </c>
      <c r="R81" s="18">
        <v>2</v>
      </c>
    </row>
    <row r="82" spans="2:18" x14ac:dyDescent="0.25">
      <c r="B82" s="10" t="s">
        <v>12</v>
      </c>
      <c r="C82" s="10">
        <v>4</v>
      </c>
      <c r="D82" s="11" t="s">
        <v>556</v>
      </c>
      <c r="E82" s="10">
        <v>3</v>
      </c>
      <c r="F82" s="10" t="s">
        <v>634</v>
      </c>
      <c r="G82" s="10">
        <v>2</v>
      </c>
      <c r="H82" s="10" t="s">
        <v>1041</v>
      </c>
      <c r="I82" s="10">
        <v>1</v>
      </c>
      <c r="K82" s="10" t="s">
        <v>335</v>
      </c>
      <c r="L82" s="10">
        <v>3</v>
      </c>
      <c r="M82" s="10" t="s">
        <v>1296</v>
      </c>
      <c r="N82" s="10">
        <v>4</v>
      </c>
      <c r="O82" s="10" t="s">
        <v>1853</v>
      </c>
      <c r="P82" s="10">
        <v>3</v>
      </c>
      <c r="Q82" s="14" t="s">
        <v>1951</v>
      </c>
      <c r="R82" s="14">
        <v>1</v>
      </c>
    </row>
    <row r="83" spans="2:18" x14ac:dyDescent="0.25">
      <c r="B83" s="10" t="s">
        <v>1767</v>
      </c>
      <c r="C83" s="10">
        <v>2</v>
      </c>
      <c r="D83" s="11" t="s">
        <v>8</v>
      </c>
      <c r="E83" s="10">
        <v>4</v>
      </c>
      <c r="F83" s="10" t="s">
        <v>1931</v>
      </c>
      <c r="G83" s="10">
        <v>4</v>
      </c>
      <c r="H83" s="10" t="s">
        <v>1645</v>
      </c>
      <c r="I83" s="10">
        <v>2</v>
      </c>
      <c r="K83" s="10" t="s">
        <v>336</v>
      </c>
      <c r="L83" s="10">
        <v>4</v>
      </c>
      <c r="M83" s="10" t="s">
        <v>923</v>
      </c>
      <c r="N83" s="10">
        <v>1</v>
      </c>
      <c r="O83" s="10" t="s">
        <v>921</v>
      </c>
      <c r="P83" s="10">
        <v>1</v>
      </c>
      <c r="Q83" s="4" t="s">
        <v>1685</v>
      </c>
      <c r="R83" s="4">
        <v>3</v>
      </c>
    </row>
    <row r="84" spans="2:18" x14ac:dyDescent="0.25">
      <c r="B84" s="10" t="s">
        <v>473</v>
      </c>
      <c r="C84" s="10">
        <v>2</v>
      </c>
      <c r="D84" s="10" t="s">
        <v>1037</v>
      </c>
      <c r="E84" s="10">
        <v>1</v>
      </c>
      <c r="F84" s="10" t="s">
        <v>1040</v>
      </c>
      <c r="G84" s="10">
        <v>1</v>
      </c>
      <c r="H84" s="10" t="s">
        <v>558</v>
      </c>
      <c r="I84" s="10">
        <v>3</v>
      </c>
      <c r="K84" s="4" t="s">
        <v>1604</v>
      </c>
      <c r="L84" s="4">
        <v>4</v>
      </c>
      <c r="M84" s="10" t="s">
        <v>282</v>
      </c>
      <c r="N84" s="10">
        <v>2</v>
      </c>
      <c r="O84" s="10" t="s">
        <v>284</v>
      </c>
      <c r="P84" s="10">
        <v>2</v>
      </c>
      <c r="Q84" s="10" t="s">
        <v>920</v>
      </c>
      <c r="R84" s="10">
        <v>1</v>
      </c>
    </row>
    <row r="85" spans="2:18" x14ac:dyDescent="0.25">
      <c r="B85" s="10" t="s">
        <v>589</v>
      </c>
      <c r="C85" s="10">
        <v>2</v>
      </c>
      <c r="D85" s="10" t="s">
        <v>1649</v>
      </c>
      <c r="E85" s="10">
        <v>2</v>
      </c>
      <c r="F85" s="10" t="s">
        <v>1646</v>
      </c>
      <c r="G85" s="10">
        <v>2</v>
      </c>
      <c r="H85" s="10" t="s">
        <v>4</v>
      </c>
      <c r="I85" s="10">
        <v>4</v>
      </c>
      <c r="K85" s="10" t="s">
        <v>478</v>
      </c>
      <c r="L85" s="10">
        <v>2</v>
      </c>
      <c r="M85" s="10" t="s">
        <v>338</v>
      </c>
      <c r="N85" s="10">
        <v>3</v>
      </c>
      <c r="O85" s="10" t="s">
        <v>335</v>
      </c>
      <c r="P85" s="10">
        <v>3</v>
      </c>
      <c r="Q85" s="10" t="s">
        <v>285</v>
      </c>
      <c r="R85" s="10">
        <v>2</v>
      </c>
    </row>
    <row r="86" spans="2:18" x14ac:dyDescent="0.25">
      <c r="B86" s="11" t="s">
        <v>881</v>
      </c>
      <c r="C86" s="11">
        <v>2</v>
      </c>
      <c r="D86" s="10" t="s">
        <v>555</v>
      </c>
      <c r="E86" s="10">
        <v>3</v>
      </c>
      <c r="F86" s="10" t="s">
        <v>5</v>
      </c>
      <c r="G86" s="10">
        <v>3</v>
      </c>
      <c r="H86" s="213" t="s">
        <v>2059</v>
      </c>
      <c r="I86" s="213">
        <v>2</v>
      </c>
      <c r="K86" s="10" t="s">
        <v>922</v>
      </c>
      <c r="L86" s="10">
        <v>1</v>
      </c>
      <c r="M86" s="10" t="s">
        <v>1295</v>
      </c>
      <c r="N86" s="10">
        <v>4</v>
      </c>
      <c r="O86" s="10" t="s">
        <v>336</v>
      </c>
      <c r="P86" s="10">
        <v>4</v>
      </c>
      <c r="Q86" s="10" t="s">
        <v>334</v>
      </c>
      <c r="R86" s="10">
        <v>3</v>
      </c>
    </row>
    <row r="87" spans="2:18" x14ac:dyDescent="0.25">
      <c r="B87" s="10" t="s">
        <v>1933</v>
      </c>
      <c r="C87" s="10">
        <v>4</v>
      </c>
      <c r="D87" s="10" t="s">
        <v>9</v>
      </c>
      <c r="E87" s="10">
        <v>4</v>
      </c>
      <c r="F87" s="10" t="s">
        <v>6</v>
      </c>
      <c r="G87" s="10">
        <v>4</v>
      </c>
      <c r="H87" s="10" t="s">
        <v>633</v>
      </c>
      <c r="I87" s="10">
        <v>2</v>
      </c>
      <c r="K87" s="10" t="s">
        <v>283</v>
      </c>
      <c r="L87" s="10">
        <v>2</v>
      </c>
      <c r="M87" s="10" t="s">
        <v>1171</v>
      </c>
      <c r="N87" s="10">
        <v>1</v>
      </c>
      <c r="O87" s="2" t="s">
        <v>1830</v>
      </c>
      <c r="P87" s="2">
        <v>1</v>
      </c>
      <c r="Q87" s="10" t="s">
        <v>1297</v>
      </c>
      <c r="R87" s="10">
        <v>4</v>
      </c>
    </row>
    <row r="88" spans="2:18" x14ac:dyDescent="0.25">
      <c r="B88" s="11" t="s">
        <v>1883</v>
      </c>
      <c r="C88" s="11">
        <v>1</v>
      </c>
      <c r="D88" s="10" t="s">
        <v>635</v>
      </c>
      <c r="E88" s="10">
        <v>2</v>
      </c>
      <c r="F88" s="10" t="s">
        <v>1932</v>
      </c>
      <c r="G88" s="10">
        <v>4</v>
      </c>
      <c r="H88" s="10" t="s">
        <v>634</v>
      </c>
      <c r="I88" s="10">
        <v>2</v>
      </c>
      <c r="K88" s="10" t="s">
        <v>337</v>
      </c>
      <c r="L88" s="10">
        <v>3</v>
      </c>
      <c r="M88" s="4" t="s">
        <v>1842</v>
      </c>
      <c r="N88" s="4">
        <v>2</v>
      </c>
      <c r="O88" s="10" t="s">
        <v>477</v>
      </c>
      <c r="P88" s="10">
        <v>2</v>
      </c>
      <c r="Q88" s="17" t="s">
        <v>1884</v>
      </c>
      <c r="R88" s="17">
        <v>1</v>
      </c>
    </row>
    <row r="89" spans="2:18" x14ac:dyDescent="0.25">
      <c r="B89" s="10" t="s">
        <v>1034</v>
      </c>
      <c r="C89" s="10">
        <v>1</v>
      </c>
      <c r="D89" s="11" t="s">
        <v>1603</v>
      </c>
      <c r="E89" s="11">
        <v>4</v>
      </c>
      <c r="F89" s="11" t="s">
        <v>1039</v>
      </c>
      <c r="G89" s="10">
        <v>1</v>
      </c>
      <c r="H89" s="10" t="s">
        <v>1931</v>
      </c>
      <c r="I89" s="10">
        <v>4</v>
      </c>
      <c r="K89" s="10" t="s">
        <v>1296</v>
      </c>
      <c r="L89" s="10">
        <v>4</v>
      </c>
      <c r="M89" s="10" t="s">
        <v>1844</v>
      </c>
      <c r="N89" s="10">
        <v>2</v>
      </c>
      <c r="O89" s="4" t="s">
        <v>1604</v>
      </c>
      <c r="P89" s="4">
        <v>4</v>
      </c>
      <c r="Q89" s="10" t="s">
        <v>1853</v>
      </c>
      <c r="R89" s="10">
        <v>3</v>
      </c>
    </row>
    <row r="90" spans="2:18" x14ac:dyDescent="0.25">
      <c r="B90" s="10" t="s">
        <v>1652</v>
      </c>
      <c r="C90" s="10">
        <v>2</v>
      </c>
      <c r="D90" s="10" t="s">
        <v>1174</v>
      </c>
      <c r="E90" s="10">
        <v>1</v>
      </c>
      <c r="F90" s="11" t="s">
        <v>1647</v>
      </c>
      <c r="G90" s="10">
        <v>2</v>
      </c>
      <c r="H90" s="14" t="s">
        <v>1040</v>
      </c>
      <c r="I90" s="14">
        <v>1</v>
      </c>
      <c r="K90" s="10" t="s">
        <v>923</v>
      </c>
      <c r="L90" s="10">
        <v>1</v>
      </c>
      <c r="M90" s="4" t="s">
        <v>924</v>
      </c>
      <c r="N90" s="10">
        <v>1</v>
      </c>
      <c r="O90" s="10" t="s">
        <v>922</v>
      </c>
      <c r="P90" s="10">
        <v>1</v>
      </c>
      <c r="Q90" s="10" t="s">
        <v>921</v>
      </c>
      <c r="R90" s="10">
        <v>1</v>
      </c>
    </row>
    <row r="91" spans="2:18" x14ac:dyDescent="0.25">
      <c r="B91" s="10" t="s">
        <v>553</v>
      </c>
      <c r="C91" s="10">
        <v>3</v>
      </c>
      <c r="D91" s="10" t="s">
        <v>1036</v>
      </c>
      <c r="E91" s="10">
        <v>1</v>
      </c>
      <c r="F91" s="11" t="s">
        <v>557</v>
      </c>
      <c r="G91" s="10">
        <v>3</v>
      </c>
      <c r="H91" s="14" t="s">
        <v>1646</v>
      </c>
      <c r="I91" s="14">
        <v>2</v>
      </c>
      <c r="K91" s="10" t="s">
        <v>282</v>
      </c>
      <c r="L91" s="10">
        <v>2</v>
      </c>
      <c r="M91" s="4" t="s">
        <v>281</v>
      </c>
      <c r="N91" s="10">
        <v>2</v>
      </c>
      <c r="O91" s="10" t="s">
        <v>283</v>
      </c>
      <c r="P91" s="10">
        <v>2</v>
      </c>
      <c r="Q91" s="10" t="s">
        <v>284</v>
      </c>
      <c r="R91" s="10">
        <v>2</v>
      </c>
    </row>
    <row r="92" spans="2:18" x14ac:dyDescent="0.25">
      <c r="B92" s="10" t="s">
        <v>13</v>
      </c>
      <c r="C92" s="10">
        <v>4</v>
      </c>
      <c r="D92" s="10" t="s">
        <v>1650</v>
      </c>
      <c r="E92" s="10">
        <v>2</v>
      </c>
      <c r="F92" s="11" t="s">
        <v>7</v>
      </c>
      <c r="G92" s="10">
        <v>4</v>
      </c>
      <c r="H92" s="14" t="s">
        <v>5</v>
      </c>
      <c r="I92" s="14">
        <v>3</v>
      </c>
      <c r="K92" s="10" t="s">
        <v>338</v>
      </c>
      <c r="L92" s="10">
        <v>3</v>
      </c>
      <c r="M92" s="4" t="s">
        <v>339</v>
      </c>
      <c r="N92" s="10">
        <v>3</v>
      </c>
      <c r="O92" s="10" t="s">
        <v>337</v>
      </c>
      <c r="P92" s="10">
        <v>3</v>
      </c>
      <c r="Q92" s="10" t="s">
        <v>335</v>
      </c>
      <c r="R92" s="10">
        <v>3</v>
      </c>
    </row>
    <row r="93" spans="2:18" x14ac:dyDescent="0.25">
      <c r="B93" s="10" t="s">
        <v>1453</v>
      </c>
      <c r="C93" s="10">
        <v>1</v>
      </c>
      <c r="D93" s="10" t="s">
        <v>554</v>
      </c>
      <c r="E93" s="10">
        <v>3</v>
      </c>
      <c r="F93" s="11" t="s">
        <v>1038</v>
      </c>
      <c r="G93" s="10">
        <v>1</v>
      </c>
      <c r="H93" s="14" t="s">
        <v>6</v>
      </c>
      <c r="I93" s="14">
        <v>4</v>
      </c>
      <c r="K93" s="10" t="s">
        <v>1295</v>
      </c>
      <c r="L93" s="10">
        <v>4</v>
      </c>
      <c r="M93" s="4" t="s">
        <v>1294</v>
      </c>
      <c r="N93" s="10">
        <v>4</v>
      </c>
      <c r="O93" s="10" t="s">
        <v>1296</v>
      </c>
      <c r="P93" s="10">
        <v>4</v>
      </c>
      <c r="Q93" s="10" t="s">
        <v>336</v>
      </c>
      <c r="R93" s="10">
        <v>4</v>
      </c>
    </row>
    <row r="94" spans="2:18" x14ac:dyDescent="0.25">
      <c r="B94" s="10" t="s">
        <v>1033</v>
      </c>
      <c r="C94" s="10">
        <v>1</v>
      </c>
      <c r="D94" s="10" t="s">
        <v>10</v>
      </c>
      <c r="E94" s="10">
        <v>4</v>
      </c>
      <c r="F94" s="11" t="s">
        <v>1648</v>
      </c>
      <c r="G94" s="10">
        <v>2</v>
      </c>
      <c r="H94" s="14" t="s">
        <v>1932</v>
      </c>
      <c r="I94" s="14">
        <v>4</v>
      </c>
      <c r="K94" s="10" t="s">
        <v>1171</v>
      </c>
      <c r="L94" s="10">
        <v>1</v>
      </c>
      <c r="M94" s="10" t="s">
        <v>925</v>
      </c>
      <c r="N94" s="10">
        <v>1</v>
      </c>
      <c r="O94" s="10" t="s">
        <v>1000</v>
      </c>
      <c r="P94" s="10">
        <v>2</v>
      </c>
      <c r="Q94" s="2" t="s">
        <v>1830</v>
      </c>
      <c r="R94" s="2">
        <v>1</v>
      </c>
    </row>
    <row r="95" spans="2:18" x14ac:dyDescent="0.25">
      <c r="B95" s="10" t="s">
        <v>1653</v>
      </c>
      <c r="C95" s="10">
        <v>2</v>
      </c>
      <c r="D95" s="10" t="s">
        <v>1035</v>
      </c>
      <c r="E95" s="10">
        <v>1</v>
      </c>
      <c r="F95" s="11" t="s">
        <v>556</v>
      </c>
      <c r="G95" s="10">
        <v>3</v>
      </c>
      <c r="H95" s="15" t="s">
        <v>1039</v>
      </c>
      <c r="I95" s="14">
        <v>1</v>
      </c>
      <c r="K95" s="4" t="s">
        <v>924</v>
      </c>
      <c r="L95" s="10">
        <v>1</v>
      </c>
      <c r="M95" s="10" t="s">
        <v>280</v>
      </c>
      <c r="N95" s="10">
        <v>2</v>
      </c>
      <c r="O95" s="10" t="s">
        <v>923</v>
      </c>
      <c r="P95" s="10">
        <v>1</v>
      </c>
      <c r="Q95" s="10" t="s">
        <v>477</v>
      </c>
      <c r="R95" s="10">
        <v>2</v>
      </c>
    </row>
    <row r="96" spans="2:18" x14ac:dyDescent="0.25">
      <c r="B96" s="10" t="s">
        <v>552</v>
      </c>
      <c r="C96" s="10">
        <v>3</v>
      </c>
      <c r="D96" s="10" t="s">
        <v>1651</v>
      </c>
      <c r="E96" s="10">
        <v>2</v>
      </c>
      <c r="F96" s="11" t="s">
        <v>8</v>
      </c>
      <c r="G96" s="10">
        <v>4</v>
      </c>
      <c r="H96" s="15" t="s">
        <v>1647</v>
      </c>
      <c r="I96" s="14">
        <v>2</v>
      </c>
      <c r="K96" s="4" t="s">
        <v>281</v>
      </c>
      <c r="L96" s="10">
        <v>2</v>
      </c>
      <c r="M96" s="10" t="s">
        <v>340</v>
      </c>
      <c r="N96" s="10">
        <v>3</v>
      </c>
      <c r="O96" s="10" t="s">
        <v>282</v>
      </c>
      <c r="P96" s="10">
        <v>2</v>
      </c>
      <c r="Q96" s="4" t="s">
        <v>1604</v>
      </c>
      <c r="R96" s="4">
        <v>4</v>
      </c>
    </row>
    <row r="97" spans="2:18" x14ac:dyDescent="0.25">
      <c r="B97" s="10" t="s">
        <v>14</v>
      </c>
      <c r="C97" s="10">
        <v>4</v>
      </c>
      <c r="D97" s="10" t="s">
        <v>11</v>
      </c>
      <c r="E97" s="10">
        <v>3</v>
      </c>
      <c r="F97" s="10" t="s">
        <v>1037</v>
      </c>
      <c r="G97" s="10">
        <v>1</v>
      </c>
      <c r="H97" s="15" t="s">
        <v>557</v>
      </c>
      <c r="I97" s="14">
        <v>3</v>
      </c>
      <c r="K97" s="4" t="s">
        <v>339</v>
      </c>
      <c r="L97" s="10">
        <v>3</v>
      </c>
      <c r="M97" s="10" t="s">
        <v>1293</v>
      </c>
      <c r="N97" s="10">
        <v>4</v>
      </c>
      <c r="O97" s="10" t="s">
        <v>338</v>
      </c>
      <c r="P97" s="10">
        <v>3</v>
      </c>
      <c r="Q97" s="10" t="s">
        <v>478</v>
      </c>
      <c r="R97" s="10">
        <v>2</v>
      </c>
    </row>
    <row r="98" spans="2:18" x14ac:dyDescent="0.25">
      <c r="B98" s="10" t="s">
        <v>1454</v>
      </c>
      <c r="C98" s="10">
        <v>1</v>
      </c>
      <c r="D98" s="10" t="s">
        <v>12</v>
      </c>
      <c r="E98" s="10">
        <v>4</v>
      </c>
      <c r="F98" s="10" t="s">
        <v>1649</v>
      </c>
      <c r="G98" s="10">
        <v>2</v>
      </c>
      <c r="H98" s="15" t="s">
        <v>7</v>
      </c>
      <c r="I98" s="14">
        <v>4</v>
      </c>
      <c r="K98" s="4" t="s">
        <v>1294</v>
      </c>
      <c r="L98" s="10">
        <v>4</v>
      </c>
      <c r="M98" s="10" t="s">
        <v>926</v>
      </c>
      <c r="N98" s="10">
        <v>1</v>
      </c>
      <c r="O98" s="10" t="s">
        <v>1295</v>
      </c>
      <c r="P98" s="10">
        <v>4</v>
      </c>
      <c r="Q98" s="14" t="s">
        <v>922</v>
      </c>
      <c r="R98" s="14">
        <v>1</v>
      </c>
    </row>
    <row r="99" spans="2:18" x14ac:dyDescent="0.25">
      <c r="B99" s="11" t="s">
        <v>1032</v>
      </c>
      <c r="C99" s="10">
        <v>1</v>
      </c>
      <c r="D99" s="10" t="s">
        <v>1767</v>
      </c>
      <c r="E99" s="10">
        <v>2</v>
      </c>
      <c r="F99" s="10" t="s">
        <v>555</v>
      </c>
      <c r="G99" s="10">
        <v>3</v>
      </c>
      <c r="H99" s="11" t="s">
        <v>1038</v>
      </c>
      <c r="I99" s="10">
        <v>1</v>
      </c>
      <c r="K99" s="10" t="s">
        <v>925</v>
      </c>
      <c r="L99" s="10">
        <v>1</v>
      </c>
      <c r="M99" s="10" t="s">
        <v>279</v>
      </c>
      <c r="N99" s="10">
        <v>2</v>
      </c>
      <c r="O99" s="10" t="s">
        <v>1171</v>
      </c>
      <c r="P99" s="10">
        <v>1</v>
      </c>
      <c r="Q99" s="14" t="s">
        <v>283</v>
      </c>
      <c r="R99" s="14">
        <v>2</v>
      </c>
    </row>
    <row r="100" spans="2:18" x14ac:dyDescent="0.25">
      <c r="B100" s="11" t="s">
        <v>1654</v>
      </c>
      <c r="C100" s="10">
        <v>2</v>
      </c>
      <c r="D100" s="10" t="s">
        <v>589</v>
      </c>
      <c r="E100" s="10">
        <v>2</v>
      </c>
      <c r="F100" s="10" t="s">
        <v>9</v>
      </c>
      <c r="G100" s="10">
        <v>4</v>
      </c>
      <c r="H100" s="11" t="s">
        <v>1648</v>
      </c>
      <c r="I100" s="10">
        <v>2</v>
      </c>
      <c r="K100" s="10" t="s">
        <v>280</v>
      </c>
      <c r="L100" s="10">
        <v>2</v>
      </c>
      <c r="M100" s="10" t="s">
        <v>341</v>
      </c>
      <c r="N100" s="10">
        <v>3</v>
      </c>
      <c r="O100" s="4" t="s">
        <v>1842</v>
      </c>
      <c r="P100" s="4">
        <v>2</v>
      </c>
      <c r="Q100" s="14" t="s">
        <v>337</v>
      </c>
      <c r="R100" s="14">
        <v>3</v>
      </c>
    </row>
    <row r="101" spans="2:18" x14ac:dyDescent="0.25">
      <c r="B101" s="11" t="s">
        <v>551</v>
      </c>
      <c r="C101" s="10">
        <v>3</v>
      </c>
      <c r="D101" s="11" t="s">
        <v>881</v>
      </c>
      <c r="E101" s="11">
        <v>2</v>
      </c>
      <c r="F101" s="10" t="s">
        <v>635</v>
      </c>
      <c r="G101" s="10">
        <v>2</v>
      </c>
      <c r="H101" s="11" t="s">
        <v>556</v>
      </c>
      <c r="I101" s="10">
        <v>3</v>
      </c>
      <c r="K101" s="10" t="s">
        <v>340</v>
      </c>
      <c r="L101" s="10">
        <v>3</v>
      </c>
      <c r="M101" s="10" t="s">
        <v>1292</v>
      </c>
      <c r="N101" s="10">
        <v>4</v>
      </c>
      <c r="O101" s="10" t="s">
        <v>1844</v>
      </c>
      <c r="P101" s="10">
        <v>2</v>
      </c>
      <c r="Q101" s="14" t="s">
        <v>1296</v>
      </c>
      <c r="R101" s="14">
        <v>4</v>
      </c>
    </row>
    <row r="102" spans="2:18" x14ac:dyDescent="0.25">
      <c r="B102" s="11" t="s">
        <v>15</v>
      </c>
      <c r="C102" s="10">
        <v>4</v>
      </c>
      <c r="D102" s="10" t="s">
        <v>1034</v>
      </c>
      <c r="E102" s="10">
        <v>1</v>
      </c>
      <c r="F102" s="11" t="s">
        <v>1603</v>
      </c>
      <c r="G102" s="11">
        <v>4</v>
      </c>
      <c r="H102" s="11" t="s">
        <v>8</v>
      </c>
      <c r="I102" s="10">
        <v>4</v>
      </c>
      <c r="K102" s="10" t="s">
        <v>1293</v>
      </c>
      <c r="L102" s="10">
        <v>4</v>
      </c>
      <c r="M102" s="10" t="s">
        <v>927</v>
      </c>
      <c r="N102" s="10">
        <v>1</v>
      </c>
      <c r="O102" s="4" t="s">
        <v>924</v>
      </c>
      <c r="P102" s="10">
        <v>1</v>
      </c>
      <c r="Q102" s="10" t="s">
        <v>1000</v>
      </c>
      <c r="R102" s="10">
        <v>2</v>
      </c>
    </row>
    <row r="103" spans="2:18" x14ac:dyDescent="0.25">
      <c r="B103" s="10" t="s">
        <v>1186</v>
      </c>
      <c r="C103" s="10">
        <v>2</v>
      </c>
      <c r="D103" s="10" t="s">
        <v>1652</v>
      </c>
      <c r="E103" s="10">
        <v>2</v>
      </c>
      <c r="F103" s="10" t="s">
        <v>1174</v>
      </c>
      <c r="G103" s="10">
        <v>1</v>
      </c>
      <c r="H103" s="10" t="s">
        <v>1037</v>
      </c>
      <c r="I103" s="10">
        <v>1</v>
      </c>
      <c r="K103" s="10" t="s">
        <v>926</v>
      </c>
      <c r="L103" s="10">
        <v>1</v>
      </c>
      <c r="M103" s="10" t="s">
        <v>278</v>
      </c>
      <c r="N103" s="10">
        <v>2</v>
      </c>
      <c r="O103" s="4" t="s">
        <v>281</v>
      </c>
      <c r="P103" s="10">
        <v>2</v>
      </c>
      <c r="Q103" s="10" t="s">
        <v>923</v>
      </c>
      <c r="R103" s="10">
        <v>1</v>
      </c>
    </row>
    <row r="104" spans="2:18" x14ac:dyDescent="0.25">
      <c r="B104" s="10" t="s">
        <v>863</v>
      </c>
      <c r="C104" s="10">
        <v>1</v>
      </c>
      <c r="D104" s="10" t="s">
        <v>553</v>
      </c>
      <c r="E104" s="10">
        <v>3</v>
      </c>
      <c r="F104" s="10" t="s">
        <v>1036</v>
      </c>
      <c r="G104" s="10">
        <v>1</v>
      </c>
      <c r="H104" s="10" t="s">
        <v>1649</v>
      </c>
      <c r="I104" s="10">
        <v>2</v>
      </c>
      <c r="K104" s="10" t="s">
        <v>279</v>
      </c>
      <c r="L104" s="10">
        <v>2</v>
      </c>
      <c r="M104" s="10" t="s">
        <v>342</v>
      </c>
      <c r="N104" s="10">
        <v>3</v>
      </c>
      <c r="O104" s="4" t="s">
        <v>339</v>
      </c>
      <c r="P104" s="10">
        <v>3</v>
      </c>
      <c r="Q104" s="10" t="s">
        <v>282</v>
      </c>
      <c r="R104" s="10">
        <v>2</v>
      </c>
    </row>
    <row r="105" spans="2:18" x14ac:dyDescent="0.25">
      <c r="B105" s="10" t="s">
        <v>1031</v>
      </c>
      <c r="C105" s="10">
        <v>1</v>
      </c>
      <c r="D105" s="10" t="s">
        <v>13</v>
      </c>
      <c r="E105" s="10">
        <v>4</v>
      </c>
      <c r="F105" s="10" t="s">
        <v>1650</v>
      </c>
      <c r="G105" s="10">
        <v>2</v>
      </c>
      <c r="H105" s="10" t="s">
        <v>555</v>
      </c>
      <c r="I105" s="10">
        <v>3</v>
      </c>
      <c r="K105" s="10" t="s">
        <v>341</v>
      </c>
      <c r="L105" s="10">
        <v>3</v>
      </c>
      <c r="M105" s="10" t="s">
        <v>1291</v>
      </c>
      <c r="N105" s="10">
        <v>4</v>
      </c>
      <c r="O105" s="4" t="s">
        <v>1294</v>
      </c>
      <c r="P105" s="10">
        <v>4</v>
      </c>
      <c r="Q105" s="10" t="s">
        <v>338</v>
      </c>
      <c r="R105" s="10">
        <v>3</v>
      </c>
    </row>
    <row r="106" spans="2:18" x14ac:dyDescent="0.25">
      <c r="B106" s="10" t="s">
        <v>1655</v>
      </c>
      <c r="C106" s="10">
        <v>2</v>
      </c>
      <c r="D106" s="10" t="s">
        <v>1453</v>
      </c>
      <c r="E106" s="10">
        <v>1</v>
      </c>
      <c r="F106" s="10" t="s">
        <v>554</v>
      </c>
      <c r="G106" s="10">
        <v>3</v>
      </c>
      <c r="H106" s="10" t="s">
        <v>9</v>
      </c>
      <c r="I106" s="10">
        <v>4</v>
      </c>
      <c r="K106" s="10" t="s">
        <v>1292</v>
      </c>
      <c r="L106" s="10">
        <v>4</v>
      </c>
      <c r="M106" s="10" t="s">
        <v>929</v>
      </c>
      <c r="N106" s="10">
        <v>1</v>
      </c>
      <c r="O106" s="10" t="s">
        <v>925</v>
      </c>
      <c r="P106" s="10">
        <v>1</v>
      </c>
      <c r="Q106" s="10" t="s">
        <v>1295</v>
      </c>
      <c r="R106" s="10">
        <v>4</v>
      </c>
    </row>
    <row r="107" spans="2:18" x14ac:dyDescent="0.25">
      <c r="B107" s="10" t="s">
        <v>550</v>
      </c>
      <c r="C107" s="10">
        <v>3</v>
      </c>
      <c r="D107" s="10" t="s">
        <v>1033</v>
      </c>
      <c r="E107" s="10">
        <v>1</v>
      </c>
      <c r="F107" s="10" t="s">
        <v>10</v>
      </c>
      <c r="G107" s="10">
        <v>4</v>
      </c>
      <c r="H107" s="10" t="s">
        <v>635</v>
      </c>
      <c r="I107" s="10">
        <v>2</v>
      </c>
      <c r="K107" s="10" t="s">
        <v>927</v>
      </c>
      <c r="L107" s="10">
        <v>1</v>
      </c>
      <c r="M107" s="10" t="s">
        <v>277</v>
      </c>
      <c r="N107" s="10">
        <v>2</v>
      </c>
      <c r="O107" s="10" t="s">
        <v>280</v>
      </c>
      <c r="P107" s="10">
        <v>2</v>
      </c>
      <c r="Q107" s="10" t="s">
        <v>1171</v>
      </c>
      <c r="R107" s="10">
        <v>1</v>
      </c>
    </row>
    <row r="108" spans="2:18" x14ac:dyDescent="0.25">
      <c r="B108" s="10" t="s">
        <v>16</v>
      </c>
      <c r="C108" s="10">
        <v>4</v>
      </c>
      <c r="D108" s="10" t="s">
        <v>1653</v>
      </c>
      <c r="E108" s="10">
        <v>2</v>
      </c>
      <c r="F108" s="10" t="s">
        <v>1035</v>
      </c>
      <c r="G108" s="10">
        <v>1</v>
      </c>
      <c r="H108" s="10" t="s">
        <v>1862</v>
      </c>
      <c r="I108" s="10">
        <v>3</v>
      </c>
      <c r="K108" s="10" t="s">
        <v>278</v>
      </c>
      <c r="L108" s="10">
        <v>2</v>
      </c>
      <c r="M108" s="10" t="s">
        <v>343</v>
      </c>
      <c r="N108" s="10">
        <v>3</v>
      </c>
      <c r="O108" s="10" t="s">
        <v>340</v>
      </c>
      <c r="P108" s="10">
        <v>3</v>
      </c>
      <c r="Q108" s="4" t="s">
        <v>1842</v>
      </c>
      <c r="R108" s="4">
        <v>2</v>
      </c>
    </row>
    <row r="109" spans="2:18" x14ac:dyDescent="0.25">
      <c r="B109" s="10" t="s">
        <v>1936</v>
      </c>
      <c r="C109" s="10">
        <v>4</v>
      </c>
      <c r="D109" s="10" t="s">
        <v>552</v>
      </c>
      <c r="E109" s="10">
        <v>3</v>
      </c>
      <c r="F109" s="10" t="s">
        <v>1651</v>
      </c>
      <c r="G109" s="10">
        <v>2</v>
      </c>
      <c r="H109" s="11" t="s">
        <v>1603</v>
      </c>
      <c r="I109" s="11">
        <v>4</v>
      </c>
      <c r="K109" s="10" t="s">
        <v>342</v>
      </c>
      <c r="L109" s="10">
        <v>3</v>
      </c>
      <c r="M109" s="10" t="s">
        <v>1290</v>
      </c>
      <c r="N109" s="10">
        <v>4</v>
      </c>
      <c r="O109" s="10" t="s">
        <v>1293</v>
      </c>
      <c r="P109" s="10">
        <v>4</v>
      </c>
      <c r="Q109" s="10" t="s">
        <v>1844</v>
      </c>
      <c r="R109" s="10">
        <v>2</v>
      </c>
    </row>
    <row r="110" spans="2:18" x14ac:dyDescent="0.25">
      <c r="B110" s="10" t="s">
        <v>1937</v>
      </c>
      <c r="C110" s="10">
        <v>4</v>
      </c>
      <c r="D110" s="10" t="s">
        <v>14</v>
      </c>
      <c r="E110" s="10">
        <v>4</v>
      </c>
      <c r="F110" s="10" t="s">
        <v>11</v>
      </c>
      <c r="G110" s="10">
        <v>3</v>
      </c>
      <c r="H110" s="10" t="s">
        <v>1174</v>
      </c>
      <c r="I110" s="10">
        <v>1</v>
      </c>
      <c r="K110" s="10" t="s">
        <v>1291</v>
      </c>
      <c r="L110" s="10">
        <v>4</v>
      </c>
      <c r="M110" s="10" t="s">
        <v>1179</v>
      </c>
      <c r="N110" s="10">
        <v>2</v>
      </c>
      <c r="O110" s="10" t="s">
        <v>926</v>
      </c>
      <c r="P110" s="10">
        <v>1</v>
      </c>
      <c r="Q110" s="4" t="s">
        <v>924</v>
      </c>
      <c r="R110" s="10">
        <v>1</v>
      </c>
    </row>
    <row r="111" spans="2:18" x14ac:dyDescent="0.25">
      <c r="B111" s="10" t="s">
        <v>1938</v>
      </c>
      <c r="C111" s="10">
        <v>4</v>
      </c>
      <c r="D111" s="10" t="s">
        <v>1934</v>
      </c>
      <c r="E111" s="10">
        <v>4</v>
      </c>
      <c r="F111" s="10" t="s">
        <v>12</v>
      </c>
      <c r="G111" s="10">
        <v>4</v>
      </c>
      <c r="H111" s="10" t="s">
        <v>1036</v>
      </c>
      <c r="I111" s="10">
        <v>1</v>
      </c>
      <c r="K111" s="10" t="s">
        <v>929</v>
      </c>
      <c r="L111" s="10">
        <v>1</v>
      </c>
      <c r="M111" s="10" t="s">
        <v>928</v>
      </c>
      <c r="N111" s="10">
        <v>1</v>
      </c>
      <c r="O111" s="10" t="s">
        <v>279</v>
      </c>
      <c r="P111" s="10">
        <v>2</v>
      </c>
      <c r="Q111" s="4" t="s">
        <v>281</v>
      </c>
      <c r="R111" s="10">
        <v>2</v>
      </c>
    </row>
    <row r="112" spans="2:18" x14ac:dyDescent="0.25">
      <c r="B112" s="11" t="s">
        <v>873</v>
      </c>
      <c r="C112" s="11">
        <v>1</v>
      </c>
      <c r="D112" s="10" t="s">
        <v>1454</v>
      </c>
      <c r="E112" s="10">
        <v>1</v>
      </c>
      <c r="F112" s="10" t="s">
        <v>1767</v>
      </c>
      <c r="G112" s="10">
        <v>2</v>
      </c>
      <c r="H112" s="10" t="s">
        <v>1650</v>
      </c>
      <c r="I112" s="10">
        <v>2</v>
      </c>
      <c r="K112" s="10" t="s">
        <v>277</v>
      </c>
      <c r="L112" s="10">
        <v>2</v>
      </c>
      <c r="M112" s="10" t="s">
        <v>276</v>
      </c>
      <c r="N112" s="10">
        <v>2</v>
      </c>
      <c r="O112" s="10" t="s">
        <v>341</v>
      </c>
      <c r="P112" s="10">
        <v>3</v>
      </c>
      <c r="Q112" s="4" t="s">
        <v>339</v>
      </c>
      <c r="R112" s="10">
        <v>3</v>
      </c>
    </row>
    <row r="113" spans="2:18" x14ac:dyDescent="0.25">
      <c r="B113" s="11" t="s">
        <v>880</v>
      </c>
      <c r="C113" s="11">
        <v>2</v>
      </c>
      <c r="D113" s="11" t="s">
        <v>1032</v>
      </c>
      <c r="E113" s="10">
        <v>1</v>
      </c>
      <c r="F113" s="10" t="s">
        <v>589</v>
      </c>
      <c r="G113" s="10">
        <v>2</v>
      </c>
      <c r="H113" s="10" t="s">
        <v>554</v>
      </c>
      <c r="I113" s="10">
        <v>3</v>
      </c>
      <c r="K113" s="10" t="s">
        <v>343</v>
      </c>
      <c r="L113" s="10">
        <v>3</v>
      </c>
      <c r="M113" s="10" t="s">
        <v>344</v>
      </c>
      <c r="N113" s="10">
        <v>3</v>
      </c>
      <c r="O113" s="10" t="s">
        <v>1292</v>
      </c>
      <c r="P113" s="10">
        <v>4</v>
      </c>
      <c r="Q113" s="4" t="s">
        <v>1294</v>
      </c>
      <c r="R113" s="10">
        <v>4</v>
      </c>
    </row>
    <row r="114" spans="2:18" x14ac:dyDescent="0.25">
      <c r="B114" s="10" t="s">
        <v>1030</v>
      </c>
      <c r="C114" s="10">
        <v>1</v>
      </c>
      <c r="D114" s="11" t="s">
        <v>1654</v>
      </c>
      <c r="E114" s="10">
        <v>2</v>
      </c>
      <c r="F114" s="11" t="s">
        <v>881</v>
      </c>
      <c r="G114" s="11">
        <v>2</v>
      </c>
      <c r="H114" s="10" t="s">
        <v>10</v>
      </c>
      <c r="I114" s="10">
        <v>4</v>
      </c>
      <c r="K114" s="10" t="s">
        <v>1290</v>
      </c>
      <c r="L114" s="10">
        <v>4</v>
      </c>
      <c r="M114" s="10" t="s">
        <v>1289</v>
      </c>
      <c r="N114" s="10">
        <v>4</v>
      </c>
      <c r="O114" s="10" t="s">
        <v>927</v>
      </c>
      <c r="P114" s="10">
        <v>1</v>
      </c>
      <c r="Q114" s="10" t="s">
        <v>925</v>
      </c>
      <c r="R114" s="10">
        <v>1</v>
      </c>
    </row>
    <row r="115" spans="2:18" x14ac:dyDescent="0.25">
      <c r="B115" s="10" t="s">
        <v>1656</v>
      </c>
      <c r="C115" s="10">
        <v>2</v>
      </c>
      <c r="D115" s="11" t="s">
        <v>551</v>
      </c>
      <c r="E115" s="10">
        <v>3</v>
      </c>
      <c r="F115" s="10" t="s">
        <v>1034</v>
      </c>
      <c r="G115" s="10">
        <v>1</v>
      </c>
      <c r="H115" s="14" t="s">
        <v>1035</v>
      </c>
      <c r="I115" s="14">
        <v>1</v>
      </c>
      <c r="K115" s="10" t="s">
        <v>1179</v>
      </c>
      <c r="L115" s="10">
        <v>2</v>
      </c>
      <c r="M115" s="10" t="s">
        <v>930</v>
      </c>
      <c r="N115" s="10">
        <v>1</v>
      </c>
      <c r="O115" s="10" t="s">
        <v>278</v>
      </c>
      <c r="P115" s="10">
        <v>2</v>
      </c>
      <c r="Q115" s="10" t="s">
        <v>280</v>
      </c>
      <c r="R115" s="10">
        <v>2</v>
      </c>
    </row>
    <row r="116" spans="2:18" x14ac:dyDescent="0.25">
      <c r="B116" s="10" t="s">
        <v>549</v>
      </c>
      <c r="C116" s="10">
        <v>3</v>
      </c>
      <c r="D116" s="11" t="s">
        <v>15</v>
      </c>
      <c r="E116" s="10">
        <v>4</v>
      </c>
      <c r="F116" s="10" t="s">
        <v>1652</v>
      </c>
      <c r="G116" s="10">
        <v>2</v>
      </c>
      <c r="H116" s="14" t="s">
        <v>1651</v>
      </c>
      <c r="I116" s="14">
        <v>2</v>
      </c>
      <c r="K116" s="10" t="s">
        <v>1855</v>
      </c>
      <c r="L116" s="10">
        <v>3</v>
      </c>
      <c r="M116" s="10" t="s">
        <v>275</v>
      </c>
      <c r="N116" s="10">
        <v>2</v>
      </c>
      <c r="O116" s="10" t="s">
        <v>342</v>
      </c>
      <c r="P116" s="10">
        <v>3</v>
      </c>
      <c r="Q116" s="10" t="s">
        <v>340</v>
      </c>
      <c r="R116" s="10">
        <v>3</v>
      </c>
    </row>
    <row r="117" spans="2:18" x14ac:dyDescent="0.25">
      <c r="B117" s="10" t="s">
        <v>17</v>
      </c>
      <c r="C117" s="10">
        <v>4</v>
      </c>
      <c r="D117" s="10" t="s">
        <v>863</v>
      </c>
      <c r="E117" s="10">
        <v>1</v>
      </c>
      <c r="F117" s="10" t="s">
        <v>553</v>
      </c>
      <c r="G117" s="10">
        <v>3</v>
      </c>
      <c r="H117" s="14" t="s">
        <v>11</v>
      </c>
      <c r="I117" s="14">
        <v>3</v>
      </c>
      <c r="K117" s="10" t="s">
        <v>928</v>
      </c>
      <c r="L117" s="10">
        <v>1</v>
      </c>
      <c r="M117" s="10" t="s">
        <v>345</v>
      </c>
      <c r="N117" s="10">
        <v>3</v>
      </c>
      <c r="O117" s="10" t="s">
        <v>1291</v>
      </c>
      <c r="P117" s="10">
        <v>4</v>
      </c>
      <c r="Q117" s="10" t="s">
        <v>1293</v>
      </c>
      <c r="R117" s="10">
        <v>4</v>
      </c>
    </row>
    <row r="118" spans="2:18" x14ac:dyDescent="0.25">
      <c r="B118" s="213" t="s">
        <v>2066</v>
      </c>
      <c r="C118" s="10">
        <v>1</v>
      </c>
      <c r="D118" s="10" t="s">
        <v>1031</v>
      </c>
      <c r="E118" s="10">
        <v>1</v>
      </c>
      <c r="F118" s="10" t="s">
        <v>13</v>
      </c>
      <c r="G118" s="10">
        <v>4</v>
      </c>
      <c r="H118" s="14" t="s">
        <v>12</v>
      </c>
      <c r="I118" s="14">
        <v>4</v>
      </c>
      <c r="K118" s="10" t="s">
        <v>276</v>
      </c>
      <c r="L118" s="10">
        <v>2</v>
      </c>
      <c r="M118" s="10" t="s">
        <v>1288</v>
      </c>
      <c r="N118" s="10">
        <v>4</v>
      </c>
      <c r="O118" s="10" t="s">
        <v>929</v>
      </c>
      <c r="P118" s="10">
        <v>1</v>
      </c>
      <c r="Q118" s="10" t="s">
        <v>926</v>
      </c>
      <c r="R118" s="10">
        <v>1</v>
      </c>
    </row>
    <row r="119" spans="2:18" x14ac:dyDescent="0.25">
      <c r="B119" s="213" t="s">
        <v>2067</v>
      </c>
      <c r="C119" s="10">
        <v>2</v>
      </c>
      <c r="D119" s="10" t="s">
        <v>1655</v>
      </c>
      <c r="E119" s="10">
        <v>2</v>
      </c>
      <c r="F119" s="10" t="s">
        <v>1453</v>
      </c>
      <c r="G119" s="10">
        <v>1</v>
      </c>
      <c r="H119" s="10" t="s">
        <v>1767</v>
      </c>
      <c r="I119" s="10">
        <v>2</v>
      </c>
      <c r="K119" s="10" t="s">
        <v>344</v>
      </c>
      <c r="L119" s="10">
        <v>3</v>
      </c>
      <c r="M119" s="10" t="s">
        <v>931</v>
      </c>
      <c r="N119" s="10">
        <v>1</v>
      </c>
      <c r="O119" s="10" t="s">
        <v>277</v>
      </c>
      <c r="P119" s="10">
        <v>2</v>
      </c>
      <c r="Q119" s="10" t="s">
        <v>279</v>
      </c>
      <c r="R119" s="10">
        <v>2</v>
      </c>
    </row>
    <row r="120" spans="2:18" x14ac:dyDescent="0.25">
      <c r="B120" s="213" t="s">
        <v>2068</v>
      </c>
      <c r="C120" s="10">
        <v>3</v>
      </c>
      <c r="D120" s="10" t="s">
        <v>550</v>
      </c>
      <c r="E120" s="10">
        <v>3</v>
      </c>
      <c r="F120" s="10" t="s">
        <v>1033</v>
      </c>
      <c r="G120" s="10">
        <v>1</v>
      </c>
      <c r="H120" s="14" t="s">
        <v>473</v>
      </c>
      <c r="I120" s="14">
        <v>2</v>
      </c>
      <c r="K120" s="10" t="s">
        <v>1289</v>
      </c>
      <c r="L120" s="10">
        <v>4</v>
      </c>
      <c r="M120" s="10" t="s">
        <v>274</v>
      </c>
      <c r="N120" s="10">
        <v>2</v>
      </c>
      <c r="O120" s="10" t="s">
        <v>343</v>
      </c>
      <c r="P120" s="10">
        <v>3</v>
      </c>
      <c r="Q120" s="10" t="s">
        <v>341</v>
      </c>
      <c r="R120" s="10">
        <v>3</v>
      </c>
    </row>
    <row r="121" spans="2:18" x14ac:dyDescent="0.25">
      <c r="B121" s="213" t="s">
        <v>2069</v>
      </c>
      <c r="C121" s="10">
        <v>4</v>
      </c>
      <c r="D121" s="10" t="s">
        <v>16</v>
      </c>
      <c r="E121" s="10">
        <v>4</v>
      </c>
      <c r="F121" s="10" t="s">
        <v>1653</v>
      </c>
      <c r="G121" s="10">
        <v>2</v>
      </c>
      <c r="H121" s="14" t="s">
        <v>589</v>
      </c>
      <c r="I121" s="14">
        <v>2</v>
      </c>
      <c r="K121" s="10" t="s">
        <v>930</v>
      </c>
      <c r="L121" s="10">
        <v>1</v>
      </c>
      <c r="M121" s="10" t="s">
        <v>1802</v>
      </c>
      <c r="N121" s="10">
        <v>3</v>
      </c>
      <c r="O121" s="10" t="s">
        <v>1290</v>
      </c>
      <c r="P121" s="10">
        <v>4</v>
      </c>
      <c r="Q121" s="10" t="s">
        <v>1292</v>
      </c>
      <c r="R121" s="10">
        <v>4</v>
      </c>
    </row>
    <row r="122" spans="2:18" x14ac:dyDescent="0.25">
      <c r="B122" s="10" t="s">
        <v>177</v>
      </c>
      <c r="C122" s="10">
        <v>2</v>
      </c>
      <c r="D122" s="10" t="s">
        <v>1936</v>
      </c>
      <c r="E122" s="10">
        <v>4</v>
      </c>
      <c r="F122" s="10" t="s">
        <v>552</v>
      </c>
      <c r="G122" s="10">
        <v>3</v>
      </c>
      <c r="H122" s="15" t="s">
        <v>881</v>
      </c>
      <c r="I122" s="15">
        <v>2</v>
      </c>
      <c r="K122" s="10" t="s">
        <v>275</v>
      </c>
      <c r="L122" s="10">
        <v>2</v>
      </c>
      <c r="M122" s="10" t="s">
        <v>1287</v>
      </c>
      <c r="N122" s="10">
        <v>4</v>
      </c>
      <c r="O122" s="10" t="s">
        <v>1179</v>
      </c>
      <c r="P122" s="10">
        <v>2</v>
      </c>
      <c r="Q122" s="10" t="s">
        <v>927</v>
      </c>
      <c r="R122" s="10">
        <v>1</v>
      </c>
    </row>
    <row r="123" spans="2:18" x14ac:dyDescent="0.25">
      <c r="B123" s="10" t="s">
        <v>1543</v>
      </c>
      <c r="C123" s="10">
        <v>2</v>
      </c>
      <c r="D123" s="10" t="s">
        <v>1937</v>
      </c>
      <c r="E123" s="10">
        <v>4</v>
      </c>
      <c r="F123" s="10" t="s">
        <v>14</v>
      </c>
      <c r="G123" s="10">
        <v>4</v>
      </c>
      <c r="H123" s="10" t="s">
        <v>1933</v>
      </c>
      <c r="I123" s="10">
        <v>4</v>
      </c>
      <c r="K123" s="10" t="s">
        <v>345</v>
      </c>
      <c r="L123" s="10">
        <v>3</v>
      </c>
      <c r="M123" s="10" t="s">
        <v>932</v>
      </c>
      <c r="N123" s="10">
        <v>1</v>
      </c>
      <c r="O123" s="10" t="s">
        <v>928</v>
      </c>
      <c r="P123" s="10">
        <v>1</v>
      </c>
      <c r="Q123" s="10" t="s">
        <v>278</v>
      </c>
      <c r="R123" s="10">
        <v>2</v>
      </c>
    </row>
    <row r="124" spans="2:18" x14ac:dyDescent="0.25">
      <c r="B124" s="10" t="s">
        <v>1544</v>
      </c>
      <c r="C124" s="10">
        <v>4</v>
      </c>
      <c r="D124" s="10" t="s">
        <v>169</v>
      </c>
      <c r="E124" s="10">
        <v>1</v>
      </c>
      <c r="F124" s="10" t="s">
        <v>1934</v>
      </c>
      <c r="G124" s="10">
        <v>4</v>
      </c>
      <c r="H124" s="15" t="s">
        <v>1883</v>
      </c>
      <c r="I124" s="15">
        <v>1</v>
      </c>
      <c r="K124" s="10" t="s">
        <v>1288</v>
      </c>
      <c r="L124" s="10">
        <v>4</v>
      </c>
      <c r="M124" s="10" t="s">
        <v>273</v>
      </c>
      <c r="N124" s="10">
        <v>2</v>
      </c>
      <c r="O124" s="10" t="s">
        <v>276</v>
      </c>
      <c r="P124" s="10">
        <v>2</v>
      </c>
      <c r="Q124" s="10" t="s">
        <v>342</v>
      </c>
      <c r="R124" s="10">
        <v>3</v>
      </c>
    </row>
    <row r="125" spans="2:18" x14ac:dyDescent="0.25">
      <c r="B125" s="10" t="s">
        <v>1029</v>
      </c>
      <c r="C125" s="10">
        <v>1</v>
      </c>
      <c r="D125" s="11" t="s">
        <v>873</v>
      </c>
      <c r="E125" s="11">
        <v>1</v>
      </c>
      <c r="F125" s="10" t="s">
        <v>1935</v>
      </c>
      <c r="G125" s="10">
        <v>4</v>
      </c>
      <c r="H125" s="10" t="s">
        <v>1034</v>
      </c>
      <c r="I125" s="10">
        <v>1</v>
      </c>
      <c r="K125" s="10" t="s">
        <v>1857</v>
      </c>
      <c r="L125" s="10">
        <v>3</v>
      </c>
      <c r="M125" s="10" t="s">
        <v>1803</v>
      </c>
      <c r="N125" s="10">
        <v>3</v>
      </c>
      <c r="O125" s="10" t="s">
        <v>344</v>
      </c>
      <c r="P125" s="10">
        <v>3</v>
      </c>
      <c r="Q125" s="10" t="s">
        <v>1291</v>
      </c>
      <c r="R125" s="10">
        <v>4</v>
      </c>
    </row>
    <row r="126" spans="2:18" x14ac:dyDescent="0.25">
      <c r="B126" s="10" t="s">
        <v>1657</v>
      </c>
      <c r="C126" s="10">
        <v>2</v>
      </c>
      <c r="D126" s="11" t="s">
        <v>880</v>
      </c>
      <c r="E126" s="11">
        <v>2</v>
      </c>
      <c r="F126" s="10" t="s">
        <v>591</v>
      </c>
      <c r="G126" s="10">
        <v>2</v>
      </c>
      <c r="H126" s="10" t="s">
        <v>1652</v>
      </c>
      <c r="I126" s="10">
        <v>2</v>
      </c>
      <c r="K126" s="10" t="s">
        <v>932</v>
      </c>
      <c r="L126" s="10">
        <v>1</v>
      </c>
      <c r="M126" s="10" t="s">
        <v>1286</v>
      </c>
      <c r="N126" s="10">
        <v>4</v>
      </c>
      <c r="O126" s="10" t="s">
        <v>1289</v>
      </c>
      <c r="P126" s="10">
        <v>4</v>
      </c>
      <c r="Q126" s="10" t="s">
        <v>929</v>
      </c>
      <c r="R126" s="10">
        <v>1</v>
      </c>
    </row>
    <row r="127" spans="2:18" x14ac:dyDescent="0.25">
      <c r="B127" s="10" t="s">
        <v>548</v>
      </c>
      <c r="C127" s="10">
        <v>3</v>
      </c>
      <c r="D127" s="10" t="s">
        <v>1030</v>
      </c>
      <c r="E127" s="10">
        <v>1</v>
      </c>
      <c r="F127" s="10" t="s">
        <v>1454</v>
      </c>
      <c r="G127" s="10">
        <v>1</v>
      </c>
      <c r="H127" s="10" t="s">
        <v>553</v>
      </c>
      <c r="I127" s="10">
        <v>3</v>
      </c>
      <c r="K127" s="10" t="s">
        <v>273</v>
      </c>
      <c r="L127" s="10">
        <v>2</v>
      </c>
      <c r="M127" s="10" t="s">
        <v>933</v>
      </c>
      <c r="N127" s="10">
        <v>1</v>
      </c>
      <c r="O127" s="10" t="s">
        <v>1181</v>
      </c>
      <c r="P127" s="10">
        <v>2</v>
      </c>
      <c r="Q127" s="10" t="s">
        <v>277</v>
      </c>
      <c r="R127" s="10">
        <v>2</v>
      </c>
    </row>
    <row r="128" spans="2:18" x14ac:dyDescent="0.25">
      <c r="B128" s="10" t="s">
        <v>18</v>
      </c>
      <c r="C128" s="10">
        <v>4</v>
      </c>
      <c r="D128" s="10" t="s">
        <v>1656</v>
      </c>
      <c r="E128" s="10">
        <v>2</v>
      </c>
      <c r="F128" s="11" t="s">
        <v>1032</v>
      </c>
      <c r="G128" s="10">
        <v>1</v>
      </c>
      <c r="H128" s="10" t="s">
        <v>13</v>
      </c>
      <c r="I128" s="10">
        <v>4</v>
      </c>
      <c r="K128" s="10" t="s">
        <v>1803</v>
      </c>
      <c r="L128" s="10">
        <v>3</v>
      </c>
      <c r="M128" s="10" t="s">
        <v>272</v>
      </c>
      <c r="N128" s="10">
        <v>2</v>
      </c>
      <c r="O128" s="10" t="s">
        <v>930</v>
      </c>
      <c r="P128" s="10">
        <v>1</v>
      </c>
      <c r="Q128" s="10" t="s">
        <v>343</v>
      </c>
      <c r="R128" s="10">
        <v>3</v>
      </c>
    </row>
    <row r="129" spans="2:18" x14ac:dyDescent="0.25">
      <c r="B129" s="10" t="s">
        <v>1939</v>
      </c>
      <c r="C129" s="10">
        <v>4</v>
      </c>
      <c r="D129" s="10" t="s">
        <v>549</v>
      </c>
      <c r="E129" s="10">
        <v>3</v>
      </c>
      <c r="F129" s="11" t="s">
        <v>1654</v>
      </c>
      <c r="G129" s="10">
        <v>2</v>
      </c>
      <c r="H129" s="14" t="s">
        <v>1453</v>
      </c>
      <c r="I129" s="14">
        <v>1</v>
      </c>
      <c r="K129" s="10" t="s">
        <v>1286</v>
      </c>
      <c r="L129" s="10">
        <v>4</v>
      </c>
      <c r="M129" s="10" t="s">
        <v>1804</v>
      </c>
      <c r="N129" s="10">
        <v>3</v>
      </c>
      <c r="O129" s="10" t="s">
        <v>275</v>
      </c>
      <c r="P129" s="10">
        <v>2</v>
      </c>
      <c r="Q129" s="10" t="s">
        <v>1290</v>
      </c>
      <c r="R129" s="10">
        <v>4</v>
      </c>
    </row>
    <row r="130" spans="2:18" x14ac:dyDescent="0.25">
      <c r="B130" s="10" t="s">
        <v>1858</v>
      </c>
      <c r="C130" s="10">
        <v>3</v>
      </c>
      <c r="D130" s="10" t="s">
        <v>17</v>
      </c>
      <c r="E130" s="10">
        <v>4</v>
      </c>
      <c r="F130" s="11" t="s">
        <v>551</v>
      </c>
      <c r="G130" s="10">
        <v>3</v>
      </c>
      <c r="H130" s="10" t="s">
        <v>1033</v>
      </c>
      <c r="I130" s="10">
        <v>1</v>
      </c>
      <c r="K130" s="10" t="s">
        <v>933</v>
      </c>
      <c r="L130" s="10">
        <v>1</v>
      </c>
      <c r="M130" s="10" t="s">
        <v>1285</v>
      </c>
      <c r="N130" s="10">
        <v>4</v>
      </c>
      <c r="O130" s="10" t="s">
        <v>345</v>
      </c>
      <c r="P130" s="10">
        <v>3</v>
      </c>
      <c r="Q130" s="10" t="s">
        <v>1179</v>
      </c>
      <c r="R130" s="10">
        <v>2</v>
      </c>
    </row>
    <row r="131" spans="2:18" x14ac:dyDescent="0.25">
      <c r="B131" s="10" t="s">
        <v>1028</v>
      </c>
      <c r="C131" s="10">
        <v>1</v>
      </c>
      <c r="D131" s="10" t="s">
        <v>592</v>
      </c>
      <c r="E131" s="10">
        <v>2</v>
      </c>
      <c r="F131" s="11" t="s">
        <v>15</v>
      </c>
      <c r="G131" s="10">
        <v>4</v>
      </c>
      <c r="H131" s="10" t="s">
        <v>1653</v>
      </c>
      <c r="I131" s="10">
        <v>2</v>
      </c>
      <c r="K131" s="10" t="s">
        <v>272</v>
      </c>
      <c r="L131" s="10">
        <v>2</v>
      </c>
      <c r="M131" s="10" t="s">
        <v>934</v>
      </c>
      <c r="N131" s="10">
        <v>1</v>
      </c>
      <c r="O131" s="10" t="s">
        <v>1288</v>
      </c>
      <c r="P131" s="10">
        <v>4</v>
      </c>
      <c r="Q131" s="14" t="s">
        <v>1855</v>
      </c>
      <c r="R131" s="14">
        <v>3</v>
      </c>
    </row>
    <row r="132" spans="2:18" x14ac:dyDescent="0.25">
      <c r="B132" s="10" t="s">
        <v>1658</v>
      </c>
      <c r="C132" s="10">
        <v>2</v>
      </c>
      <c r="D132" s="10" t="s">
        <v>177</v>
      </c>
      <c r="E132" s="10">
        <v>2</v>
      </c>
      <c r="F132" s="10" t="s">
        <v>863</v>
      </c>
      <c r="G132" s="10">
        <v>1</v>
      </c>
      <c r="H132" s="10" t="s">
        <v>552</v>
      </c>
      <c r="I132" s="10">
        <v>3</v>
      </c>
      <c r="K132" s="10" t="s">
        <v>1804</v>
      </c>
      <c r="L132" s="10">
        <v>3</v>
      </c>
      <c r="M132" s="10" t="s">
        <v>271</v>
      </c>
      <c r="N132" s="10">
        <v>2</v>
      </c>
      <c r="O132" s="4" t="s">
        <v>1670</v>
      </c>
      <c r="P132" s="4">
        <v>4</v>
      </c>
      <c r="Q132" s="14" t="s">
        <v>928</v>
      </c>
      <c r="R132" s="14">
        <v>1</v>
      </c>
    </row>
    <row r="133" spans="2:18" x14ac:dyDescent="0.25">
      <c r="B133" s="10" t="s">
        <v>547</v>
      </c>
      <c r="C133" s="10">
        <v>3</v>
      </c>
      <c r="D133" s="10" t="s">
        <v>1543</v>
      </c>
      <c r="E133" s="10">
        <v>2</v>
      </c>
      <c r="F133" s="11" t="s">
        <v>83</v>
      </c>
      <c r="G133" s="10">
        <v>2</v>
      </c>
      <c r="H133" s="10" t="s">
        <v>14</v>
      </c>
      <c r="I133" s="10">
        <v>4</v>
      </c>
      <c r="K133" s="10" t="s">
        <v>1285</v>
      </c>
      <c r="L133" s="10">
        <v>4</v>
      </c>
      <c r="M133" s="10" t="s">
        <v>1805</v>
      </c>
      <c r="N133" s="10">
        <v>3</v>
      </c>
      <c r="O133" s="10" t="s">
        <v>1859</v>
      </c>
      <c r="P133" s="10">
        <v>2</v>
      </c>
      <c r="Q133" s="14" t="s">
        <v>276</v>
      </c>
      <c r="R133" s="14">
        <v>2</v>
      </c>
    </row>
    <row r="134" spans="2:18" x14ac:dyDescent="0.25">
      <c r="B134" s="10" t="s">
        <v>19</v>
      </c>
      <c r="C134" s="10">
        <v>4</v>
      </c>
      <c r="D134" s="10" t="s">
        <v>1544</v>
      </c>
      <c r="E134" s="10">
        <v>4</v>
      </c>
      <c r="F134" s="10" t="s">
        <v>1031</v>
      </c>
      <c r="G134" s="10">
        <v>1</v>
      </c>
      <c r="H134" s="10" t="s">
        <v>1934</v>
      </c>
      <c r="I134" s="10">
        <v>4</v>
      </c>
      <c r="K134" s="10" t="s">
        <v>934</v>
      </c>
      <c r="L134" s="10">
        <v>1</v>
      </c>
      <c r="M134" s="10" t="s">
        <v>1284</v>
      </c>
      <c r="N134" s="10">
        <v>4</v>
      </c>
      <c r="O134" s="10" t="s">
        <v>931</v>
      </c>
      <c r="P134" s="10">
        <v>1</v>
      </c>
      <c r="Q134" s="14" t="s">
        <v>344</v>
      </c>
      <c r="R134" s="14">
        <v>3</v>
      </c>
    </row>
    <row r="135" spans="2:18" x14ac:dyDescent="0.25">
      <c r="B135" s="10" t="s">
        <v>1027</v>
      </c>
      <c r="C135" s="10">
        <v>1</v>
      </c>
      <c r="D135" s="10" t="s">
        <v>1029</v>
      </c>
      <c r="E135" s="10">
        <v>1</v>
      </c>
      <c r="F135" s="10" t="s">
        <v>1655</v>
      </c>
      <c r="G135" s="10">
        <v>2</v>
      </c>
      <c r="H135" s="10" t="s">
        <v>1935</v>
      </c>
      <c r="I135" s="10">
        <v>4</v>
      </c>
      <c r="K135" s="10" t="s">
        <v>271</v>
      </c>
      <c r="L135" s="10">
        <v>2</v>
      </c>
      <c r="M135" s="10" t="s">
        <v>935</v>
      </c>
      <c r="N135" s="10">
        <v>1</v>
      </c>
      <c r="O135" s="10" t="s">
        <v>274</v>
      </c>
      <c r="P135" s="10">
        <v>2</v>
      </c>
      <c r="Q135" s="14" t="s">
        <v>1289</v>
      </c>
      <c r="R135" s="14">
        <v>4</v>
      </c>
    </row>
    <row r="136" spans="2:18" x14ac:dyDescent="0.25">
      <c r="B136" s="10" t="s">
        <v>1659</v>
      </c>
      <c r="C136" s="10">
        <v>2</v>
      </c>
      <c r="D136" s="10" t="s">
        <v>1657</v>
      </c>
      <c r="E136" s="10">
        <v>2</v>
      </c>
      <c r="F136" s="10" t="s">
        <v>550</v>
      </c>
      <c r="G136" s="10">
        <v>3</v>
      </c>
      <c r="H136" s="10" t="s">
        <v>591</v>
      </c>
      <c r="I136" s="10">
        <v>2</v>
      </c>
      <c r="K136" s="10" t="s">
        <v>1805</v>
      </c>
      <c r="L136" s="10">
        <v>3</v>
      </c>
      <c r="M136" s="10" t="s">
        <v>270</v>
      </c>
      <c r="N136" s="10">
        <v>2</v>
      </c>
      <c r="O136" s="10" t="s">
        <v>1802</v>
      </c>
      <c r="P136" s="10">
        <v>3</v>
      </c>
      <c r="Q136" s="10" t="s">
        <v>1181</v>
      </c>
      <c r="R136" s="10">
        <v>2</v>
      </c>
    </row>
    <row r="137" spans="2:18" x14ac:dyDescent="0.25">
      <c r="B137" s="10" t="s">
        <v>546</v>
      </c>
      <c r="C137" s="10">
        <v>3</v>
      </c>
      <c r="D137" s="10" t="s">
        <v>548</v>
      </c>
      <c r="E137" s="10">
        <v>3</v>
      </c>
      <c r="F137" s="10" t="s">
        <v>16</v>
      </c>
      <c r="G137" s="10">
        <v>4</v>
      </c>
      <c r="H137" s="10" t="s">
        <v>1454</v>
      </c>
      <c r="I137" s="10">
        <v>1</v>
      </c>
      <c r="K137" s="10" t="s">
        <v>1284</v>
      </c>
      <c r="L137" s="10">
        <v>4</v>
      </c>
      <c r="M137" s="10" t="s">
        <v>1806</v>
      </c>
      <c r="N137" s="10">
        <v>3</v>
      </c>
      <c r="O137" s="10" t="s">
        <v>1287</v>
      </c>
      <c r="P137" s="10">
        <v>4</v>
      </c>
      <c r="Q137" s="10" t="s">
        <v>930</v>
      </c>
      <c r="R137" s="10">
        <v>1</v>
      </c>
    </row>
    <row r="138" spans="2:18" x14ac:dyDescent="0.25">
      <c r="B138" s="10" t="s">
        <v>20</v>
      </c>
      <c r="C138" s="10">
        <v>4</v>
      </c>
      <c r="D138" s="10" t="s">
        <v>18</v>
      </c>
      <c r="E138" s="10">
        <v>4</v>
      </c>
      <c r="F138" s="10" t="s">
        <v>1936</v>
      </c>
      <c r="G138" s="10">
        <v>4</v>
      </c>
      <c r="H138" s="11" t="s">
        <v>1032</v>
      </c>
      <c r="I138" s="10">
        <v>1</v>
      </c>
      <c r="K138" s="10" t="s">
        <v>936</v>
      </c>
      <c r="L138" s="10">
        <v>1</v>
      </c>
      <c r="M138" s="10" t="s">
        <v>1283</v>
      </c>
      <c r="N138" s="10">
        <v>4</v>
      </c>
      <c r="O138" s="10" t="s">
        <v>932</v>
      </c>
      <c r="P138" s="10">
        <v>1</v>
      </c>
      <c r="Q138" s="10" t="s">
        <v>275</v>
      </c>
      <c r="R138" s="10">
        <v>2</v>
      </c>
    </row>
    <row r="139" spans="2:18" x14ac:dyDescent="0.25">
      <c r="B139" s="10" t="s">
        <v>184</v>
      </c>
      <c r="C139" s="10">
        <v>3</v>
      </c>
      <c r="D139" s="11" t="s">
        <v>1675</v>
      </c>
      <c r="E139" s="11">
        <v>2</v>
      </c>
      <c r="F139" s="10" t="s">
        <v>1937</v>
      </c>
      <c r="G139" s="10">
        <v>4</v>
      </c>
      <c r="H139" s="11" t="s">
        <v>1654</v>
      </c>
      <c r="I139" s="10">
        <v>2</v>
      </c>
      <c r="K139" s="10" t="s">
        <v>269</v>
      </c>
      <c r="L139" s="10">
        <v>2</v>
      </c>
      <c r="M139" s="10" t="s">
        <v>936</v>
      </c>
      <c r="N139" s="10">
        <v>1</v>
      </c>
      <c r="O139" s="10" t="s">
        <v>273</v>
      </c>
      <c r="P139" s="10">
        <v>2</v>
      </c>
      <c r="Q139" s="10" t="s">
        <v>345</v>
      </c>
      <c r="R139" s="10">
        <v>3</v>
      </c>
    </row>
    <row r="140" spans="2:18" x14ac:dyDescent="0.25">
      <c r="B140" s="10" t="s">
        <v>185</v>
      </c>
      <c r="C140" s="10">
        <v>3</v>
      </c>
      <c r="D140" s="10" t="s">
        <v>178</v>
      </c>
      <c r="E140" s="10">
        <v>2</v>
      </c>
      <c r="F140" s="10" t="s">
        <v>169</v>
      </c>
      <c r="G140" s="10">
        <v>1</v>
      </c>
      <c r="H140" s="11" t="s">
        <v>551</v>
      </c>
      <c r="I140" s="10">
        <v>3</v>
      </c>
      <c r="K140" s="10" t="s">
        <v>693</v>
      </c>
      <c r="L140" s="10">
        <v>3</v>
      </c>
      <c r="M140" s="10" t="s">
        <v>269</v>
      </c>
      <c r="N140" s="10">
        <v>2</v>
      </c>
      <c r="O140" s="10" t="s">
        <v>1803</v>
      </c>
      <c r="P140" s="10">
        <v>3</v>
      </c>
      <c r="Q140" s="10" t="s">
        <v>1288</v>
      </c>
      <c r="R140" s="10">
        <v>4</v>
      </c>
    </row>
    <row r="141" spans="2:18" x14ac:dyDescent="0.25">
      <c r="B141" s="10" t="s">
        <v>1026</v>
      </c>
      <c r="C141" s="10">
        <v>1</v>
      </c>
      <c r="D141" s="10" t="s">
        <v>1027</v>
      </c>
      <c r="E141" s="10">
        <v>1</v>
      </c>
      <c r="F141" s="11" t="s">
        <v>873</v>
      </c>
      <c r="G141" s="11">
        <v>1</v>
      </c>
      <c r="H141" s="11" t="s">
        <v>15</v>
      </c>
      <c r="I141" s="10">
        <v>4</v>
      </c>
      <c r="K141" s="10" t="s">
        <v>1282</v>
      </c>
      <c r="L141" s="10">
        <v>4</v>
      </c>
      <c r="M141" s="10" t="s">
        <v>693</v>
      </c>
      <c r="N141" s="10">
        <v>3</v>
      </c>
      <c r="O141" s="10" t="s">
        <v>1286</v>
      </c>
      <c r="P141" s="10">
        <v>4</v>
      </c>
      <c r="Q141" s="14" t="s">
        <v>1857</v>
      </c>
      <c r="R141" s="14">
        <v>3</v>
      </c>
    </row>
    <row r="142" spans="2:18" x14ac:dyDescent="0.25">
      <c r="B142" s="10" t="s">
        <v>1660</v>
      </c>
      <c r="C142" s="10">
        <v>2</v>
      </c>
      <c r="D142" s="10" t="s">
        <v>1659</v>
      </c>
      <c r="E142" s="10">
        <v>2</v>
      </c>
      <c r="F142" s="11" t="s">
        <v>880</v>
      </c>
      <c r="G142" s="11">
        <v>2</v>
      </c>
      <c r="H142" s="14" t="s">
        <v>1186</v>
      </c>
      <c r="I142" s="14">
        <v>2</v>
      </c>
      <c r="K142" s="10" t="s">
        <v>937</v>
      </c>
      <c r="L142" s="10">
        <v>1</v>
      </c>
      <c r="M142" s="10" t="s">
        <v>1282</v>
      </c>
      <c r="N142" s="10">
        <v>4</v>
      </c>
      <c r="O142" s="10" t="s">
        <v>933</v>
      </c>
      <c r="P142" s="10">
        <v>1</v>
      </c>
      <c r="Q142" s="4" t="s">
        <v>1670</v>
      </c>
      <c r="R142" s="4">
        <v>4</v>
      </c>
    </row>
    <row r="143" spans="2:18" x14ac:dyDescent="0.25">
      <c r="B143" s="10" t="s">
        <v>21</v>
      </c>
      <c r="C143" s="10">
        <v>3</v>
      </c>
      <c r="D143" s="10" t="s">
        <v>546</v>
      </c>
      <c r="E143" s="10">
        <v>3</v>
      </c>
      <c r="F143" s="10" t="s">
        <v>1030</v>
      </c>
      <c r="G143" s="10">
        <v>1</v>
      </c>
      <c r="H143" s="10" t="s">
        <v>863</v>
      </c>
      <c r="I143" s="10">
        <v>1</v>
      </c>
      <c r="K143" s="10" t="s">
        <v>267</v>
      </c>
      <c r="L143" s="10">
        <v>2</v>
      </c>
      <c r="M143" s="13" t="s">
        <v>268</v>
      </c>
      <c r="N143" s="10">
        <v>2</v>
      </c>
      <c r="O143" s="10" t="s">
        <v>272</v>
      </c>
      <c r="P143" s="10">
        <v>2</v>
      </c>
      <c r="Q143" s="10" t="s">
        <v>1859</v>
      </c>
      <c r="R143" s="10">
        <v>2</v>
      </c>
    </row>
    <row r="144" spans="2:18" x14ac:dyDescent="0.25">
      <c r="B144" s="10" t="s">
        <v>22</v>
      </c>
      <c r="C144" s="10">
        <v>4</v>
      </c>
      <c r="D144" s="10" t="s">
        <v>20</v>
      </c>
      <c r="E144" s="10">
        <v>4</v>
      </c>
      <c r="F144" s="10" t="s">
        <v>1656</v>
      </c>
      <c r="G144" s="10">
        <v>2</v>
      </c>
      <c r="H144" s="11" t="s">
        <v>83</v>
      </c>
      <c r="I144" s="10">
        <v>2</v>
      </c>
      <c r="K144" s="10" t="s">
        <v>692</v>
      </c>
      <c r="L144" s="10">
        <v>3</v>
      </c>
      <c r="M144" s="13" t="s">
        <v>1281</v>
      </c>
      <c r="N144" s="10">
        <v>4</v>
      </c>
      <c r="O144" s="10" t="s">
        <v>1804</v>
      </c>
      <c r="P144" s="10">
        <v>3</v>
      </c>
      <c r="Q144" s="10" t="s">
        <v>931</v>
      </c>
      <c r="R144" s="10">
        <v>1</v>
      </c>
    </row>
    <row r="145" spans="2:18" x14ac:dyDescent="0.25">
      <c r="B145" s="10" t="s">
        <v>1025</v>
      </c>
      <c r="C145" s="10">
        <v>1</v>
      </c>
      <c r="D145" s="10" t="s">
        <v>184</v>
      </c>
      <c r="E145" s="10">
        <v>3</v>
      </c>
      <c r="F145" s="10" t="s">
        <v>549</v>
      </c>
      <c r="G145" s="10">
        <v>3</v>
      </c>
      <c r="H145" s="10" t="s">
        <v>1031</v>
      </c>
      <c r="I145" s="10">
        <v>1</v>
      </c>
      <c r="K145" s="10" t="s">
        <v>1280</v>
      </c>
      <c r="L145" s="10">
        <v>4</v>
      </c>
      <c r="M145" s="10" t="s">
        <v>937</v>
      </c>
      <c r="N145" s="10">
        <v>1</v>
      </c>
      <c r="O145" s="10" t="s">
        <v>1285</v>
      </c>
      <c r="P145" s="10">
        <v>4</v>
      </c>
      <c r="Q145" s="10" t="s">
        <v>274</v>
      </c>
      <c r="R145" s="10">
        <v>2</v>
      </c>
    </row>
    <row r="146" spans="2:18" x14ac:dyDescent="0.25">
      <c r="B146" s="10" t="s">
        <v>1661</v>
      </c>
      <c r="C146" s="10">
        <v>2</v>
      </c>
      <c r="D146" s="10" t="s">
        <v>185</v>
      </c>
      <c r="E146" s="10">
        <v>3</v>
      </c>
      <c r="F146" s="10" t="s">
        <v>17</v>
      </c>
      <c r="G146" s="10">
        <v>4</v>
      </c>
      <c r="H146" s="10" t="s">
        <v>1655</v>
      </c>
      <c r="I146" s="10">
        <v>2</v>
      </c>
      <c r="K146" s="10" t="s">
        <v>1005</v>
      </c>
      <c r="L146" s="10">
        <v>1</v>
      </c>
      <c r="M146" s="10" t="s">
        <v>267</v>
      </c>
      <c r="N146" s="10">
        <v>2</v>
      </c>
      <c r="O146" s="10" t="s">
        <v>934</v>
      </c>
      <c r="P146" s="10">
        <v>1</v>
      </c>
      <c r="Q146" s="10" t="s">
        <v>1802</v>
      </c>
      <c r="R146" s="10">
        <v>3</v>
      </c>
    </row>
    <row r="147" spans="2:18" x14ac:dyDescent="0.25">
      <c r="B147" s="10" t="s">
        <v>545</v>
      </c>
      <c r="C147" s="10">
        <v>3</v>
      </c>
      <c r="D147" s="10" t="s">
        <v>1026</v>
      </c>
      <c r="E147" s="10">
        <v>1</v>
      </c>
      <c r="F147" s="10" t="s">
        <v>592</v>
      </c>
      <c r="G147" s="10">
        <v>2</v>
      </c>
      <c r="H147" s="10" t="s">
        <v>550</v>
      </c>
      <c r="I147" s="10">
        <v>3</v>
      </c>
      <c r="K147" s="8" t="s">
        <v>1839</v>
      </c>
      <c r="L147" s="8">
        <v>2</v>
      </c>
      <c r="M147" s="10" t="s">
        <v>692</v>
      </c>
      <c r="N147" s="10">
        <v>3</v>
      </c>
      <c r="O147" s="10" t="s">
        <v>271</v>
      </c>
      <c r="P147" s="10">
        <v>2</v>
      </c>
      <c r="Q147" s="10" t="s">
        <v>1287</v>
      </c>
      <c r="R147" s="10">
        <v>4</v>
      </c>
    </row>
    <row r="148" spans="2:18" x14ac:dyDescent="0.25">
      <c r="B148" s="10" t="s">
        <v>23</v>
      </c>
      <c r="C148" s="10">
        <v>4</v>
      </c>
      <c r="D148" s="10" t="s">
        <v>1660</v>
      </c>
      <c r="E148" s="10">
        <v>2</v>
      </c>
      <c r="F148" s="10" t="s">
        <v>177</v>
      </c>
      <c r="G148" s="10">
        <v>2</v>
      </c>
      <c r="H148" s="10" t="s">
        <v>16</v>
      </c>
      <c r="I148" s="10">
        <v>4</v>
      </c>
      <c r="K148" s="213" t="s">
        <v>2056</v>
      </c>
      <c r="L148" s="213">
        <v>2</v>
      </c>
      <c r="M148" s="10" t="s">
        <v>1280</v>
      </c>
      <c r="N148" s="10">
        <v>4</v>
      </c>
      <c r="O148" s="10" t="s">
        <v>1805</v>
      </c>
      <c r="P148" s="10">
        <v>3</v>
      </c>
      <c r="Q148" s="10" t="s">
        <v>932</v>
      </c>
      <c r="R148" s="10">
        <v>1</v>
      </c>
    </row>
    <row r="149" spans="2:18" x14ac:dyDescent="0.25">
      <c r="B149" s="10" t="s">
        <v>1024</v>
      </c>
      <c r="C149" s="10">
        <v>1</v>
      </c>
      <c r="D149" s="10" t="s">
        <v>21</v>
      </c>
      <c r="E149" s="10">
        <v>3</v>
      </c>
      <c r="F149" s="10" t="s">
        <v>1543</v>
      </c>
      <c r="G149" s="10">
        <v>2</v>
      </c>
      <c r="H149" s="10" t="s">
        <v>1936</v>
      </c>
      <c r="I149" s="10">
        <v>4</v>
      </c>
      <c r="K149" s="10" t="s">
        <v>939</v>
      </c>
      <c r="L149" s="10">
        <v>1</v>
      </c>
      <c r="M149" s="10" t="s">
        <v>938</v>
      </c>
      <c r="N149" s="10">
        <v>1</v>
      </c>
      <c r="O149" s="10" t="s">
        <v>1284</v>
      </c>
      <c r="P149" s="10">
        <v>4</v>
      </c>
      <c r="Q149" s="10" t="s">
        <v>273</v>
      </c>
      <c r="R149" s="10">
        <v>2</v>
      </c>
    </row>
    <row r="150" spans="2:18" x14ac:dyDescent="0.25">
      <c r="B150" s="10" t="s">
        <v>1662</v>
      </c>
      <c r="C150" s="10">
        <v>2</v>
      </c>
      <c r="D150" s="10" t="s">
        <v>22</v>
      </c>
      <c r="E150" s="10">
        <v>4</v>
      </c>
      <c r="F150" s="10" t="s">
        <v>1544</v>
      </c>
      <c r="G150" s="10">
        <v>4</v>
      </c>
      <c r="H150" s="10" t="s">
        <v>1937</v>
      </c>
      <c r="I150" s="10">
        <v>4</v>
      </c>
      <c r="K150" s="10" t="s">
        <v>265</v>
      </c>
      <c r="L150" s="10">
        <v>2</v>
      </c>
      <c r="M150" s="10" t="s">
        <v>266</v>
      </c>
      <c r="N150" s="10">
        <v>2</v>
      </c>
      <c r="O150" s="10" t="s">
        <v>935</v>
      </c>
      <c r="P150" s="10">
        <v>1</v>
      </c>
      <c r="Q150" s="10" t="s">
        <v>1803</v>
      </c>
      <c r="R150" s="10">
        <v>3</v>
      </c>
    </row>
    <row r="151" spans="2:18" x14ac:dyDescent="0.25">
      <c r="B151" s="10" t="s">
        <v>544</v>
      </c>
      <c r="C151" s="10">
        <v>3</v>
      </c>
      <c r="D151" s="10" t="s">
        <v>1025</v>
      </c>
      <c r="E151" s="10">
        <v>1</v>
      </c>
      <c r="F151" s="10" t="s">
        <v>1029</v>
      </c>
      <c r="G151" s="10">
        <v>1</v>
      </c>
      <c r="H151" s="10" t="s">
        <v>169</v>
      </c>
      <c r="I151" s="10">
        <v>1</v>
      </c>
      <c r="K151" s="10" t="s">
        <v>690</v>
      </c>
      <c r="L151" s="10">
        <v>3</v>
      </c>
      <c r="M151" s="10" t="s">
        <v>691</v>
      </c>
      <c r="N151" s="10">
        <v>3</v>
      </c>
      <c r="O151" s="10" t="s">
        <v>270</v>
      </c>
      <c r="P151" s="10">
        <v>2</v>
      </c>
      <c r="Q151" s="10" t="s">
        <v>1286</v>
      </c>
      <c r="R151" s="10">
        <v>4</v>
      </c>
    </row>
    <row r="152" spans="2:18" x14ac:dyDescent="0.25">
      <c r="B152" s="10" t="s">
        <v>24</v>
      </c>
      <c r="C152" s="10">
        <v>4</v>
      </c>
      <c r="D152" s="10" t="s">
        <v>1661</v>
      </c>
      <c r="E152" s="10">
        <v>2</v>
      </c>
      <c r="F152" s="10" t="s">
        <v>1657</v>
      </c>
      <c r="G152" s="10">
        <v>2</v>
      </c>
      <c r="H152" s="14" t="s">
        <v>1938</v>
      </c>
      <c r="I152" s="14">
        <v>4</v>
      </c>
      <c r="K152" s="10" t="s">
        <v>670</v>
      </c>
      <c r="L152" s="10">
        <v>4</v>
      </c>
      <c r="M152" s="10" t="s">
        <v>1279</v>
      </c>
      <c r="N152" s="10">
        <v>4</v>
      </c>
      <c r="O152" s="10" t="s">
        <v>1806</v>
      </c>
      <c r="P152" s="10">
        <v>3</v>
      </c>
      <c r="Q152" s="10" t="s">
        <v>933</v>
      </c>
      <c r="R152" s="10">
        <v>1</v>
      </c>
    </row>
    <row r="153" spans="2:18" x14ac:dyDescent="0.25">
      <c r="B153" s="10" t="s">
        <v>1940</v>
      </c>
      <c r="C153" s="10">
        <v>4</v>
      </c>
      <c r="D153" s="10" t="s">
        <v>545</v>
      </c>
      <c r="E153" s="10">
        <v>3</v>
      </c>
      <c r="F153" s="10" t="s">
        <v>548</v>
      </c>
      <c r="G153" s="10">
        <v>3</v>
      </c>
      <c r="H153" s="11" t="s">
        <v>873</v>
      </c>
      <c r="I153" s="11">
        <v>1</v>
      </c>
      <c r="K153" s="4" t="s">
        <v>1831</v>
      </c>
      <c r="L153" s="4">
        <v>2</v>
      </c>
      <c r="M153" s="10" t="s">
        <v>1506</v>
      </c>
      <c r="N153" s="10">
        <v>2</v>
      </c>
      <c r="O153" s="10" t="s">
        <v>1283</v>
      </c>
      <c r="P153" s="10">
        <v>4</v>
      </c>
      <c r="Q153" s="10" t="s">
        <v>272</v>
      </c>
      <c r="R153" s="10">
        <v>2</v>
      </c>
    </row>
    <row r="154" spans="2:18" x14ac:dyDescent="0.25">
      <c r="B154" s="11" t="s">
        <v>879</v>
      </c>
      <c r="C154" s="11">
        <v>2</v>
      </c>
      <c r="D154" s="10" t="s">
        <v>23</v>
      </c>
      <c r="E154" s="10">
        <v>4</v>
      </c>
      <c r="F154" s="10" t="s">
        <v>18</v>
      </c>
      <c r="G154" s="10">
        <v>4</v>
      </c>
      <c r="H154" s="11" t="s">
        <v>880</v>
      </c>
      <c r="I154" s="11">
        <v>2</v>
      </c>
      <c r="K154" s="4" t="s">
        <v>940</v>
      </c>
      <c r="L154" s="10">
        <v>1</v>
      </c>
      <c r="M154" s="8" t="s">
        <v>1839</v>
      </c>
      <c r="N154" s="8">
        <v>2</v>
      </c>
      <c r="O154" s="10" t="s">
        <v>936</v>
      </c>
      <c r="P154" s="10">
        <v>1</v>
      </c>
      <c r="Q154" s="10" t="s">
        <v>1804</v>
      </c>
      <c r="R154" s="10">
        <v>3</v>
      </c>
    </row>
    <row r="155" spans="2:18" x14ac:dyDescent="0.25">
      <c r="B155" s="10" t="s">
        <v>471</v>
      </c>
      <c r="C155" s="10">
        <v>2</v>
      </c>
      <c r="D155" s="10" t="s">
        <v>1024</v>
      </c>
      <c r="E155" s="10">
        <v>1</v>
      </c>
      <c r="F155" s="11" t="s">
        <v>1675</v>
      </c>
      <c r="G155" s="11">
        <v>2</v>
      </c>
      <c r="H155" s="10" t="s">
        <v>1030</v>
      </c>
      <c r="I155" s="10">
        <v>1</v>
      </c>
      <c r="K155" s="4" t="s">
        <v>264</v>
      </c>
      <c r="L155" s="10">
        <v>2</v>
      </c>
      <c r="M155" s="213" t="s">
        <v>2056</v>
      </c>
      <c r="N155" s="213">
        <v>2</v>
      </c>
      <c r="O155" s="10" t="s">
        <v>269</v>
      </c>
      <c r="P155" s="10">
        <v>2</v>
      </c>
      <c r="Q155" s="10" t="s">
        <v>1285</v>
      </c>
      <c r="R155" s="10">
        <v>4</v>
      </c>
    </row>
    <row r="156" spans="2:18" x14ac:dyDescent="0.25">
      <c r="B156" s="10" t="s">
        <v>1023</v>
      </c>
      <c r="C156" s="10">
        <v>1</v>
      </c>
      <c r="D156" s="10" t="s">
        <v>1662</v>
      </c>
      <c r="E156" s="10">
        <v>2</v>
      </c>
      <c r="F156" s="10" t="s">
        <v>178</v>
      </c>
      <c r="G156" s="10">
        <v>2</v>
      </c>
      <c r="H156" s="10" t="s">
        <v>1656</v>
      </c>
      <c r="I156" s="10">
        <v>2</v>
      </c>
      <c r="K156" s="4" t="s">
        <v>689</v>
      </c>
      <c r="L156" s="10">
        <v>3</v>
      </c>
      <c r="M156" s="10" t="s">
        <v>939</v>
      </c>
      <c r="N156" s="10">
        <v>1</v>
      </c>
      <c r="O156" s="10" t="s">
        <v>693</v>
      </c>
      <c r="P156" s="10">
        <v>3</v>
      </c>
      <c r="Q156" s="10" t="s">
        <v>934</v>
      </c>
      <c r="R156" s="10">
        <v>1</v>
      </c>
    </row>
    <row r="157" spans="2:18" x14ac:dyDescent="0.25">
      <c r="B157" s="10" t="s">
        <v>1663</v>
      </c>
      <c r="C157" s="10">
        <v>2</v>
      </c>
      <c r="D157" s="10" t="s">
        <v>544</v>
      </c>
      <c r="E157" s="10">
        <v>3</v>
      </c>
      <c r="F157" s="10" t="s">
        <v>1027</v>
      </c>
      <c r="G157" s="10">
        <v>1</v>
      </c>
      <c r="H157" s="10" t="s">
        <v>549</v>
      </c>
      <c r="I157" s="10">
        <v>3</v>
      </c>
      <c r="K157" s="4" t="s">
        <v>669</v>
      </c>
      <c r="L157" s="10">
        <v>4</v>
      </c>
      <c r="M157" s="10" t="s">
        <v>265</v>
      </c>
      <c r="N157" s="10">
        <v>2</v>
      </c>
      <c r="O157" s="10" t="s">
        <v>1282</v>
      </c>
      <c r="P157" s="10">
        <v>4</v>
      </c>
      <c r="Q157" s="10" t="s">
        <v>271</v>
      </c>
      <c r="R157" s="10">
        <v>2</v>
      </c>
    </row>
    <row r="158" spans="2:18" x14ac:dyDescent="0.25">
      <c r="B158" s="10" t="s">
        <v>543</v>
      </c>
      <c r="C158" s="10">
        <v>3</v>
      </c>
      <c r="D158" s="10" t="s">
        <v>24</v>
      </c>
      <c r="E158" s="10">
        <v>4</v>
      </c>
      <c r="F158" s="10" t="s">
        <v>1659</v>
      </c>
      <c r="G158" s="10">
        <v>2</v>
      </c>
      <c r="H158" s="10" t="s">
        <v>17</v>
      </c>
      <c r="I158" s="10">
        <v>4</v>
      </c>
      <c r="K158" s="10" t="s">
        <v>942</v>
      </c>
      <c r="L158" s="10">
        <v>1</v>
      </c>
      <c r="M158" s="10" t="s">
        <v>690</v>
      </c>
      <c r="N158" s="10">
        <v>3</v>
      </c>
      <c r="O158" s="13" t="s">
        <v>268</v>
      </c>
      <c r="P158" s="10">
        <v>2</v>
      </c>
      <c r="Q158" s="10" t="s">
        <v>1805</v>
      </c>
      <c r="R158" s="10">
        <v>3</v>
      </c>
    </row>
    <row r="159" spans="2:18" x14ac:dyDescent="0.25">
      <c r="B159" s="10" t="s">
        <v>25</v>
      </c>
      <c r="C159" s="10">
        <v>4</v>
      </c>
      <c r="D159" s="11" t="s">
        <v>879</v>
      </c>
      <c r="E159" s="11">
        <v>2</v>
      </c>
      <c r="F159" s="10" t="s">
        <v>546</v>
      </c>
      <c r="G159" s="10">
        <v>3</v>
      </c>
      <c r="H159" s="10" t="s">
        <v>592</v>
      </c>
      <c r="I159" s="10">
        <v>2</v>
      </c>
      <c r="K159" s="10" t="s">
        <v>262</v>
      </c>
      <c r="L159" s="10">
        <v>2</v>
      </c>
      <c r="M159" s="10" t="s">
        <v>670</v>
      </c>
      <c r="N159" s="10">
        <v>4</v>
      </c>
      <c r="O159" s="13" t="s">
        <v>1281</v>
      </c>
      <c r="P159" s="10">
        <v>4</v>
      </c>
      <c r="Q159" s="10" t="s">
        <v>1284</v>
      </c>
      <c r="R159" s="10">
        <v>4</v>
      </c>
    </row>
    <row r="160" spans="2:18" x14ac:dyDescent="0.25">
      <c r="B160" s="11" t="s">
        <v>1022</v>
      </c>
      <c r="C160" s="10">
        <v>1</v>
      </c>
      <c r="D160" s="10" t="s">
        <v>471</v>
      </c>
      <c r="E160" s="10">
        <v>2</v>
      </c>
      <c r="F160" s="10" t="s">
        <v>20</v>
      </c>
      <c r="G160" s="10">
        <v>4</v>
      </c>
      <c r="H160" s="235" t="s">
        <v>2066</v>
      </c>
      <c r="I160" s="14">
        <v>1</v>
      </c>
      <c r="K160" s="10" t="s">
        <v>687</v>
      </c>
      <c r="L160" s="10">
        <v>3</v>
      </c>
      <c r="M160" s="10" t="s">
        <v>1182</v>
      </c>
      <c r="N160" s="10">
        <v>2</v>
      </c>
      <c r="O160" s="10" t="s">
        <v>937</v>
      </c>
      <c r="P160" s="10">
        <v>1</v>
      </c>
      <c r="Q160" s="10" t="s">
        <v>935</v>
      </c>
      <c r="R160" s="10">
        <v>1</v>
      </c>
    </row>
    <row r="161" spans="2:18" x14ac:dyDescent="0.25">
      <c r="B161" s="11" t="s">
        <v>1664</v>
      </c>
      <c r="C161" s="10">
        <v>2</v>
      </c>
      <c r="D161" s="11" t="s">
        <v>888</v>
      </c>
      <c r="E161" s="11">
        <v>1</v>
      </c>
      <c r="F161" s="10" t="s">
        <v>184</v>
      </c>
      <c r="G161" s="10">
        <v>3</v>
      </c>
      <c r="H161" s="235" t="s">
        <v>2067</v>
      </c>
      <c r="I161" s="14">
        <v>2</v>
      </c>
      <c r="K161" s="10" t="s">
        <v>667</v>
      </c>
      <c r="L161" s="10">
        <v>4</v>
      </c>
      <c r="M161" s="4" t="s">
        <v>1831</v>
      </c>
      <c r="N161" s="4">
        <v>2</v>
      </c>
      <c r="O161" s="10" t="s">
        <v>267</v>
      </c>
      <c r="P161" s="10">
        <v>2</v>
      </c>
      <c r="Q161" s="10" t="s">
        <v>270</v>
      </c>
      <c r="R161" s="10">
        <v>2</v>
      </c>
    </row>
    <row r="162" spans="2:18" x14ac:dyDescent="0.25">
      <c r="B162" s="11" t="s">
        <v>542</v>
      </c>
      <c r="C162" s="10">
        <v>3</v>
      </c>
      <c r="D162" s="10" t="s">
        <v>1023</v>
      </c>
      <c r="E162" s="10">
        <v>1</v>
      </c>
      <c r="F162" s="10" t="s">
        <v>185</v>
      </c>
      <c r="G162" s="10">
        <v>3</v>
      </c>
      <c r="H162" s="235" t="s">
        <v>2068</v>
      </c>
      <c r="I162" s="10">
        <v>3</v>
      </c>
      <c r="K162" s="4" t="s">
        <v>943</v>
      </c>
      <c r="L162" s="10">
        <v>1</v>
      </c>
      <c r="M162" s="4" t="s">
        <v>940</v>
      </c>
      <c r="N162" s="10">
        <v>1</v>
      </c>
      <c r="O162" s="10" t="s">
        <v>692</v>
      </c>
      <c r="P162" s="10">
        <v>3</v>
      </c>
      <c r="Q162" s="10" t="s">
        <v>1806</v>
      </c>
      <c r="R162" s="10">
        <v>3</v>
      </c>
    </row>
    <row r="163" spans="2:18" x14ac:dyDescent="0.25">
      <c r="B163" s="11" t="s">
        <v>26</v>
      </c>
      <c r="C163" s="10">
        <v>4</v>
      </c>
      <c r="D163" s="10" t="s">
        <v>1663</v>
      </c>
      <c r="E163" s="10">
        <v>2</v>
      </c>
      <c r="F163" s="10" t="s">
        <v>1026</v>
      </c>
      <c r="G163" s="10">
        <v>1</v>
      </c>
      <c r="H163" s="235" t="s">
        <v>2069</v>
      </c>
      <c r="I163" s="10">
        <v>4</v>
      </c>
      <c r="K163" s="4" t="s">
        <v>261</v>
      </c>
      <c r="L163" s="10">
        <v>2</v>
      </c>
      <c r="M163" s="4" t="s">
        <v>264</v>
      </c>
      <c r="N163" s="10">
        <v>2</v>
      </c>
      <c r="O163" s="10" t="s">
        <v>1280</v>
      </c>
      <c r="P163" s="10">
        <v>4</v>
      </c>
      <c r="Q163" s="10" t="s">
        <v>1283</v>
      </c>
      <c r="R163" s="10">
        <v>4</v>
      </c>
    </row>
    <row r="164" spans="2:18" x14ac:dyDescent="0.25">
      <c r="B164" s="10" t="s">
        <v>1021</v>
      </c>
      <c r="C164" s="10">
        <v>1</v>
      </c>
      <c r="D164" s="10" t="s">
        <v>543</v>
      </c>
      <c r="E164" s="10">
        <v>3</v>
      </c>
      <c r="F164" s="10" t="s">
        <v>1660</v>
      </c>
      <c r="G164" s="10">
        <v>2</v>
      </c>
      <c r="H164" s="14" t="s">
        <v>177</v>
      </c>
      <c r="I164" s="14">
        <v>2</v>
      </c>
      <c r="K164" s="4" t="s">
        <v>686</v>
      </c>
      <c r="L164" s="10">
        <v>3</v>
      </c>
      <c r="M164" s="4" t="s">
        <v>689</v>
      </c>
      <c r="N164" s="10">
        <v>3</v>
      </c>
      <c r="O164" s="10" t="s">
        <v>938</v>
      </c>
      <c r="P164" s="10">
        <v>1</v>
      </c>
      <c r="Q164" s="14" t="s">
        <v>936</v>
      </c>
      <c r="R164" s="14">
        <v>1</v>
      </c>
    </row>
    <row r="165" spans="2:18" x14ac:dyDescent="0.25">
      <c r="B165" s="10" t="s">
        <v>1665</v>
      </c>
      <c r="C165" s="10">
        <v>2</v>
      </c>
      <c r="D165" s="10" t="s">
        <v>25</v>
      </c>
      <c r="E165" s="10">
        <v>4</v>
      </c>
      <c r="F165" s="10" t="s">
        <v>21</v>
      </c>
      <c r="G165" s="10">
        <v>3</v>
      </c>
      <c r="H165" s="10" t="s">
        <v>1543</v>
      </c>
      <c r="I165" s="10">
        <v>2</v>
      </c>
      <c r="K165" s="4" t="s">
        <v>666</v>
      </c>
      <c r="L165" s="10">
        <v>4</v>
      </c>
      <c r="M165" s="4" t="s">
        <v>669</v>
      </c>
      <c r="N165" s="10">
        <v>4</v>
      </c>
      <c r="O165" s="10" t="s">
        <v>266</v>
      </c>
      <c r="P165" s="10">
        <v>2</v>
      </c>
      <c r="Q165" s="14" t="s">
        <v>269</v>
      </c>
      <c r="R165" s="14">
        <v>2</v>
      </c>
    </row>
    <row r="166" spans="2:18" x14ac:dyDescent="0.25">
      <c r="B166" s="10" t="s">
        <v>541</v>
      </c>
      <c r="C166" s="10">
        <v>3</v>
      </c>
      <c r="D166" s="11" t="s">
        <v>1022</v>
      </c>
      <c r="E166" s="10">
        <v>1</v>
      </c>
      <c r="F166" s="10" t="s">
        <v>22</v>
      </c>
      <c r="G166" s="10">
        <v>4</v>
      </c>
      <c r="H166" s="10" t="s">
        <v>1544</v>
      </c>
      <c r="I166" s="10">
        <v>4</v>
      </c>
      <c r="K166" s="10" t="s">
        <v>1861</v>
      </c>
      <c r="L166" s="10">
        <v>3</v>
      </c>
      <c r="M166" s="10" t="s">
        <v>942</v>
      </c>
      <c r="N166" s="10">
        <v>1</v>
      </c>
      <c r="O166" s="10" t="s">
        <v>691</v>
      </c>
      <c r="P166" s="10">
        <v>3</v>
      </c>
      <c r="Q166" s="14" t="s">
        <v>693</v>
      </c>
      <c r="R166" s="14">
        <v>3</v>
      </c>
    </row>
    <row r="167" spans="2:18" x14ac:dyDescent="0.25">
      <c r="B167" s="10" t="s">
        <v>27</v>
      </c>
      <c r="C167" s="10">
        <v>4</v>
      </c>
      <c r="D167" s="11" t="s">
        <v>1664</v>
      </c>
      <c r="E167" s="10">
        <v>2</v>
      </c>
      <c r="F167" s="10" t="s">
        <v>1025</v>
      </c>
      <c r="G167" s="10">
        <v>1</v>
      </c>
      <c r="H167" s="14" t="s">
        <v>1029</v>
      </c>
      <c r="I167" s="14">
        <v>1</v>
      </c>
      <c r="K167" s="13" t="s">
        <v>944</v>
      </c>
      <c r="L167" s="10">
        <v>1</v>
      </c>
      <c r="M167" s="10" t="s">
        <v>262</v>
      </c>
      <c r="N167" s="10">
        <v>2</v>
      </c>
      <c r="O167" s="10" t="s">
        <v>1279</v>
      </c>
      <c r="P167" s="10">
        <v>4</v>
      </c>
      <c r="Q167" s="14" t="s">
        <v>1282</v>
      </c>
      <c r="R167" s="14">
        <v>4</v>
      </c>
    </row>
    <row r="168" spans="2:18" x14ac:dyDescent="0.25">
      <c r="B168" s="10" t="s">
        <v>179</v>
      </c>
      <c r="C168" s="10">
        <v>2</v>
      </c>
      <c r="D168" s="11" t="s">
        <v>542</v>
      </c>
      <c r="E168" s="10">
        <v>3</v>
      </c>
      <c r="F168" s="10" t="s">
        <v>1661</v>
      </c>
      <c r="G168" s="10">
        <v>2</v>
      </c>
      <c r="H168" s="14" t="s">
        <v>1657</v>
      </c>
      <c r="I168" s="14">
        <v>2</v>
      </c>
      <c r="K168" s="13" t="s">
        <v>260</v>
      </c>
      <c r="L168" s="10">
        <v>2</v>
      </c>
      <c r="M168" s="10" t="s">
        <v>687</v>
      </c>
      <c r="N168" s="10">
        <v>3</v>
      </c>
      <c r="O168" s="10" t="s">
        <v>1506</v>
      </c>
      <c r="P168" s="10">
        <v>2</v>
      </c>
      <c r="Q168" s="13" t="s">
        <v>268</v>
      </c>
      <c r="R168" s="10">
        <v>2</v>
      </c>
    </row>
    <row r="169" spans="2:18" x14ac:dyDescent="0.25">
      <c r="B169" s="10" t="s">
        <v>421</v>
      </c>
      <c r="C169" s="10">
        <v>1</v>
      </c>
      <c r="D169" s="11" t="s">
        <v>26</v>
      </c>
      <c r="E169" s="10">
        <v>4</v>
      </c>
      <c r="F169" s="10" t="s">
        <v>545</v>
      </c>
      <c r="G169" s="10">
        <v>3</v>
      </c>
      <c r="H169" s="14" t="s">
        <v>548</v>
      </c>
      <c r="I169" s="14">
        <v>3</v>
      </c>
      <c r="K169" s="13" t="s">
        <v>685</v>
      </c>
      <c r="L169" s="10">
        <v>3</v>
      </c>
      <c r="M169" s="10" t="s">
        <v>667</v>
      </c>
      <c r="N169" s="10">
        <v>4</v>
      </c>
      <c r="O169" s="10" t="s">
        <v>1777</v>
      </c>
      <c r="P169" s="10">
        <v>4</v>
      </c>
      <c r="Q169" s="13" t="s">
        <v>1281</v>
      </c>
      <c r="R169" s="10">
        <v>4</v>
      </c>
    </row>
    <row r="170" spans="2:18" x14ac:dyDescent="0.25">
      <c r="B170" s="10" t="s">
        <v>422</v>
      </c>
      <c r="C170" s="10">
        <v>1</v>
      </c>
      <c r="D170" s="10" t="s">
        <v>1021</v>
      </c>
      <c r="E170" s="10">
        <v>1</v>
      </c>
      <c r="F170" s="10" t="s">
        <v>23</v>
      </c>
      <c r="G170" s="10">
        <v>4</v>
      </c>
      <c r="H170" s="14" t="s">
        <v>18</v>
      </c>
      <c r="I170" s="14">
        <v>4</v>
      </c>
      <c r="K170" s="13" t="s">
        <v>665</v>
      </c>
      <c r="L170" s="10">
        <v>4</v>
      </c>
      <c r="M170" s="4" t="s">
        <v>1207</v>
      </c>
      <c r="N170" s="4">
        <v>4</v>
      </c>
      <c r="O170" s="8" t="s">
        <v>1839</v>
      </c>
      <c r="P170" s="8">
        <v>2</v>
      </c>
      <c r="Q170" s="10" t="s">
        <v>937</v>
      </c>
      <c r="R170" s="10">
        <v>1</v>
      </c>
    </row>
    <row r="171" spans="2:18" x14ac:dyDescent="0.25">
      <c r="B171" s="10" t="s">
        <v>1545</v>
      </c>
      <c r="C171" s="10">
        <v>2</v>
      </c>
      <c r="D171" s="10" t="s">
        <v>1665</v>
      </c>
      <c r="E171" s="10">
        <v>2</v>
      </c>
      <c r="F171" s="10" t="s">
        <v>1024</v>
      </c>
      <c r="G171" s="10">
        <v>1</v>
      </c>
      <c r="H171" s="14" t="s">
        <v>1939</v>
      </c>
      <c r="I171" s="14">
        <v>4</v>
      </c>
      <c r="K171" s="10" t="s">
        <v>1173</v>
      </c>
      <c r="L171" s="10">
        <v>1</v>
      </c>
      <c r="M171" s="4" t="s">
        <v>943</v>
      </c>
      <c r="N171" s="10">
        <v>1</v>
      </c>
      <c r="O171" s="213" t="s">
        <v>2056</v>
      </c>
      <c r="P171" s="213">
        <v>2</v>
      </c>
      <c r="Q171" s="10" t="s">
        <v>267</v>
      </c>
      <c r="R171" s="10">
        <v>2</v>
      </c>
    </row>
    <row r="172" spans="2:18" x14ac:dyDescent="0.25">
      <c r="B172" s="10" t="s">
        <v>170</v>
      </c>
      <c r="C172" s="10">
        <v>1</v>
      </c>
      <c r="D172" s="10" t="s">
        <v>541</v>
      </c>
      <c r="E172" s="10">
        <v>3</v>
      </c>
      <c r="F172" s="10" t="s">
        <v>1662</v>
      </c>
      <c r="G172" s="10">
        <v>2</v>
      </c>
      <c r="H172" s="14" t="s">
        <v>1858</v>
      </c>
      <c r="I172" s="14">
        <v>3</v>
      </c>
      <c r="K172" s="10" t="s">
        <v>946</v>
      </c>
      <c r="L172" s="10">
        <v>1</v>
      </c>
      <c r="M172" s="4" t="s">
        <v>261</v>
      </c>
      <c r="N172" s="10">
        <v>2</v>
      </c>
      <c r="O172" s="10" t="s">
        <v>939</v>
      </c>
      <c r="P172" s="10">
        <v>1</v>
      </c>
      <c r="Q172" s="10" t="s">
        <v>692</v>
      </c>
      <c r="R172" s="10">
        <v>3</v>
      </c>
    </row>
    <row r="173" spans="2:18" x14ac:dyDescent="0.25">
      <c r="B173" s="10" t="s">
        <v>1184</v>
      </c>
      <c r="C173" s="10">
        <v>1</v>
      </c>
      <c r="D173" s="10" t="s">
        <v>27</v>
      </c>
      <c r="E173" s="10">
        <v>4</v>
      </c>
      <c r="F173" s="10" t="s">
        <v>544</v>
      </c>
      <c r="G173" s="10">
        <v>3</v>
      </c>
      <c r="H173" s="11" t="s">
        <v>1675</v>
      </c>
      <c r="I173" s="11">
        <v>2</v>
      </c>
      <c r="K173" s="10" t="s">
        <v>258</v>
      </c>
      <c r="L173" s="10">
        <v>2</v>
      </c>
      <c r="M173" s="4" t="s">
        <v>686</v>
      </c>
      <c r="N173" s="10">
        <v>3</v>
      </c>
      <c r="O173" s="10" t="s">
        <v>265</v>
      </c>
      <c r="P173" s="10">
        <v>2</v>
      </c>
      <c r="Q173" s="10" t="s">
        <v>1280</v>
      </c>
      <c r="R173" s="10">
        <v>4</v>
      </c>
    </row>
    <row r="174" spans="2:18" x14ac:dyDescent="0.25">
      <c r="B174" s="10" t="s">
        <v>1941</v>
      </c>
      <c r="C174" s="10">
        <v>4</v>
      </c>
      <c r="D174" s="10" t="s">
        <v>179</v>
      </c>
      <c r="E174" s="10">
        <v>2</v>
      </c>
      <c r="F174" s="10" t="s">
        <v>24</v>
      </c>
      <c r="G174" s="10">
        <v>4</v>
      </c>
      <c r="H174" s="14" t="s">
        <v>1028</v>
      </c>
      <c r="I174" s="14">
        <v>1</v>
      </c>
      <c r="K174" s="10" t="s">
        <v>683</v>
      </c>
      <c r="L174" s="10">
        <v>3</v>
      </c>
      <c r="M174" s="4" t="s">
        <v>666</v>
      </c>
      <c r="N174" s="10">
        <v>4</v>
      </c>
      <c r="O174" s="10" t="s">
        <v>690</v>
      </c>
      <c r="P174" s="10">
        <v>3</v>
      </c>
      <c r="Q174" s="10" t="s">
        <v>938</v>
      </c>
      <c r="R174" s="10">
        <v>1</v>
      </c>
    </row>
    <row r="175" spans="2:18" x14ac:dyDescent="0.25">
      <c r="B175" s="10" t="s">
        <v>186</v>
      </c>
      <c r="C175" s="10">
        <v>3</v>
      </c>
      <c r="D175" s="10" t="s">
        <v>170</v>
      </c>
      <c r="E175" s="10">
        <v>1</v>
      </c>
      <c r="F175" s="10" t="s">
        <v>865</v>
      </c>
      <c r="G175" s="10">
        <v>4</v>
      </c>
      <c r="H175" s="14" t="s">
        <v>1658</v>
      </c>
      <c r="I175" s="14">
        <v>2</v>
      </c>
      <c r="K175" s="10" t="s">
        <v>663</v>
      </c>
      <c r="L175" s="10">
        <v>4</v>
      </c>
      <c r="M175" s="13" t="s">
        <v>944</v>
      </c>
      <c r="N175" s="10">
        <v>1</v>
      </c>
      <c r="O175" s="10" t="s">
        <v>670</v>
      </c>
      <c r="P175" s="10">
        <v>4</v>
      </c>
      <c r="Q175" s="10" t="s">
        <v>266</v>
      </c>
      <c r="R175" s="10">
        <v>2</v>
      </c>
    </row>
    <row r="176" spans="2:18" x14ac:dyDescent="0.25">
      <c r="B176" s="11" t="s">
        <v>1018</v>
      </c>
      <c r="C176" s="10">
        <v>1</v>
      </c>
      <c r="D176" s="11" t="s">
        <v>1019</v>
      </c>
      <c r="E176" s="10">
        <v>1</v>
      </c>
      <c r="F176" s="11" t="s">
        <v>879</v>
      </c>
      <c r="G176" s="11">
        <v>2</v>
      </c>
      <c r="H176" s="14" t="s">
        <v>547</v>
      </c>
      <c r="I176" s="14">
        <v>3</v>
      </c>
      <c r="K176" s="13" t="s">
        <v>947</v>
      </c>
      <c r="L176" s="10">
        <v>1</v>
      </c>
      <c r="M176" s="13" t="s">
        <v>260</v>
      </c>
      <c r="N176" s="10">
        <v>2</v>
      </c>
      <c r="O176" s="10" t="s">
        <v>1182</v>
      </c>
      <c r="P176" s="10">
        <v>2</v>
      </c>
      <c r="Q176" s="10" t="s">
        <v>691</v>
      </c>
      <c r="R176" s="10">
        <v>3</v>
      </c>
    </row>
    <row r="177" spans="2:18" x14ac:dyDescent="0.25">
      <c r="B177" s="11" t="s">
        <v>1668</v>
      </c>
      <c r="C177" s="10">
        <v>2</v>
      </c>
      <c r="D177" s="11" t="s">
        <v>1667</v>
      </c>
      <c r="E177" s="10">
        <v>2</v>
      </c>
      <c r="F177" s="10" t="s">
        <v>471</v>
      </c>
      <c r="G177" s="10">
        <v>2</v>
      </c>
      <c r="H177" s="14" t="s">
        <v>19</v>
      </c>
      <c r="I177" s="14">
        <v>4</v>
      </c>
      <c r="K177" s="13" t="s">
        <v>718</v>
      </c>
      <c r="L177" s="10">
        <v>2</v>
      </c>
      <c r="M177" s="13" t="s">
        <v>685</v>
      </c>
      <c r="N177" s="10">
        <v>3</v>
      </c>
      <c r="O177" s="4" t="s">
        <v>1831</v>
      </c>
      <c r="P177" s="4">
        <v>2</v>
      </c>
      <c r="Q177" s="10" t="s">
        <v>1279</v>
      </c>
      <c r="R177" s="10">
        <v>4</v>
      </c>
    </row>
    <row r="178" spans="2:18" x14ac:dyDescent="0.25">
      <c r="B178" s="11" t="s">
        <v>1682</v>
      </c>
      <c r="C178" s="10">
        <v>3</v>
      </c>
      <c r="D178" s="11" t="s">
        <v>1683</v>
      </c>
      <c r="E178" s="10">
        <v>3</v>
      </c>
      <c r="F178" s="11" t="s">
        <v>888</v>
      </c>
      <c r="G178" s="11">
        <v>1</v>
      </c>
      <c r="H178" s="10" t="s">
        <v>178</v>
      </c>
      <c r="I178" s="10">
        <v>2</v>
      </c>
      <c r="K178" s="13" t="s">
        <v>682</v>
      </c>
      <c r="L178" s="10">
        <v>3</v>
      </c>
      <c r="M178" s="13" t="s">
        <v>665</v>
      </c>
      <c r="N178" s="10">
        <v>4</v>
      </c>
      <c r="O178" s="4" t="s">
        <v>940</v>
      </c>
      <c r="P178" s="10">
        <v>1</v>
      </c>
      <c r="Q178" s="10" t="s">
        <v>1005</v>
      </c>
      <c r="R178" s="10">
        <v>1</v>
      </c>
    </row>
    <row r="179" spans="2:18" x14ac:dyDescent="0.25">
      <c r="B179" s="11" t="s">
        <v>30</v>
      </c>
      <c r="C179" s="10">
        <v>4</v>
      </c>
      <c r="D179" s="11" t="s">
        <v>29</v>
      </c>
      <c r="E179" s="10">
        <v>4</v>
      </c>
      <c r="F179" s="10" t="s">
        <v>1023</v>
      </c>
      <c r="G179" s="10">
        <v>1</v>
      </c>
      <c r="H179" s="10" t="s">
        <v>1027</v>
      </c>
      <c r="I179" s="10">
        <v>1</v>
      </c>
      <c r="K179" s="13" t="s">
        <v>662</v>
      </c>
      <c r="L179" s="10">
        <v>4</v>
      </c>
      <c r="M179" s="10" t="s">
        <v>1173</v>
      </c>
      <c r="N179" s="10">
        <v>1</v>
      </c>
      <c r="O179" s="4" t="s">
        <v>264</v>
      </c>
      <c r="P179" s="10">
        <v>2</v>
      </c>
      <c r="Q179" s="10" t="s">
        <v>1506</v>
      </c>
      <c r="R179" s="10">
        <v>2</v>
      </c>
    </row>
    <row r="180" spans="2:18" x14ac:dyDescent="0.25">
      <c r="B180" s="11" t="s">
        <v>1017</v>
      </c>
      <c r="C180" s="10">
        <v>1</v>
      </c>
      <c r="D180" s="10" t="s">
        <v>1941</v>
      </c>
      <c r="E180" s="10">
        <v>4</v>
      </c>
      <c r="F180" s="10" t="s">
        <v>1663</v>
      </c>
      <c r="G180" s="10">
        <v>2</v>
      </c>
      <c r="H180" s="10" t="s">
        <v>1659</v>
      </c>
      <c r="I180" s="10">
        <v>2</v>
      </c>
      <c r="K180" s="13" t="s">
        <v>949</v>
      </c>
      <c r="L180" s="10">
        <v>1</v>
      </c>
      <c r="M180" s="10" t="s">
        <v>946</v>
      </c>
      <c r="N180" s="10">
        <v>1</v>
      </c>
      <c r="O180" s="4" t="s">
        <v>689</v>
      </c>
      <c r="P180" s="10">
        <v>3</v>
      </c>
      <c r="Q180" s="10" t="s">
        <v>1777</v>
      </c>
      <c r="R180" s="10">
        <v>4</v>
      </c>
    </row>
    <row r="181" spans="2:18" x14ac:dyDescent="0.25">
      <c r="B181" s="11" t="s">
        <v>197</v>
      </c>
      <c r="C181" s="10">
        <v>2</v>
      </c>
      <c r="D181" s="10" t="s">
        <v>186</v>
      </c>
      <c r="E181" s="10">
        <v>3</v>
      </c>
      <c r="F181" s="10" t="s">
        <v>543</v>
      </c>
      <c r="G181" s="10">
        <v>3</v>
      </c>
      <c r="H181" s="10" t="s">
        <v>546</v>
      </c>
      <c r="I181" s="10">
        <v>3</v>
      </c>
      <c r="K181" s="13" t="s">
        <v>716</v>
      </c>
      <c r="L181" s="10">
        <v>2</v>
      </c>
      <c r="M181" s="10" t="s">
        <v>258</v>
      </c>
      <c r="N181" s="10">
        <v>2</v>
      </c>
      <c r="O181" s="4" t="s">
        <v>669</v>
      </c>
      <c r="P181" s="10">
        <v>4</v>
      </c>
      <c r="Q181" s="8" t="s">
        <v>1839</v>
      </c>
      <c r="R181" s="8">
        <v>2</v>
      </c>
    </row>
    <row r="182" spans="2:18" x14ac:dyDescent="0.25">
      <c r="B182" s="11" t="s">
        <v>1681</v>
      </c>
      <c r="C182" s="10">
        <v>3</v>
      </c>
      <c r="D182" s="11" t="s">
        <v>1018</v>
      </c>
      <c r="E182" s="10">
        <v>1</v>
      </c>
      <c r="F182" s="10" t="s">
        <v>25</v>
      </c>
      <c r="G182" s="10">
        <v>4</v>
      </c>
      <c r="H182" s="10" t="s">
        <v>20</v>
      </c>
      <c r="I182" s="10">
        <v>4</v>
      </c>
      <c r="K182" s="13" t="s">
        <v>680</v>
      </c>
      <c r="L182" s="10">
        <v>3</v>
      </c>
      <c r="M182" s="10" t="s">
        <v>683</v>
      </c>
      <c r="N182" s="10">
        <v>3</v>
      </c>
      <c r="O182" s="10" t="s">
        <v>941</v>
      </c>
      <c r="P182" s="10">
        <v>1</v>
      </c>
      <c r="Q182" s="8" t="s">
        <v>1839</v>
      </c>
      <c r="R182" s="8">
        <v>2</v>
      </c>
    </row>
    <row r="183" spans="2:18" x14ac:dyDescent="0.25">
      <c r="B183" s="11" t="s">
        <v>31</v>
      </c>
      <c r="C183" s="10">
        <v>4</v>
      </c>
      <c r="D183" s="11" t="s">
        <v>1668</v>
      </c>
      <c r="E183" s="10">
        <v>2</v>
      </c>
      <c r="F183" s="11" t="s">
        <v>1022</v>
      </c>
      <c r="G183" s="10">
        <v>1</v>
      </c>
      <c r="H183" s="14" t="s">
        <v>184</v>
      </c>
      <c r="I183" s="14">
        <v>3</v>
      </c>
      <c r="K183" s="13" t="s">
        <v>660</v>
      </c>
      <c r="L183" s="10">
        <v>4</v>
      </c>
      <c r="M183" s="10" t="s">
        <v>663</v>
      </c>
      <c r="N183" s="10">
        <v>4</v>
      </c>
      <c r="O183" s="10" t="s">
        <v>263</v>
      </c>
      <c r="P183" s="10">
        <v>2</v>
      </c>
      <c r="Q183" s="10" t="s">
        <v>939</v>
      </c>
      <c r="R183" s="10">
        <v>1</v>
      </c>
    </row>
    <row r="184" spans="2:18" x14ac:dyDescent="0.25">
      <c r="B184" s="10" t="s">
        <v>187</v>
      </c>
      <c r="C184" s="10">
        <v>3</v>
      </c>
      <c r="D184" s="11" t="s">
        <v>1682</v>
      </c>
      <c r="E184" s="10">
        <v>3</v>
      </c>
      <c r="F184" s="11" t="s">
        <v>1664</v>
      </c>
      <c r="G184" s="10">
        <v>2</v>
      </c>
      <c r="H184" s="14" t="s">
        <v>185</v>
      </c>
      <c r="I184" s="14">
        <v>3</v>
      </c>
      <c r="K184" s="4" t="s">
        <v>876</v>
      </c>
      <c r="L184" s="4">
        <v>1</v>
      </c>
      <c r="M184" s="13" t="s">
        <v>947</v>
      </c>
      <c r="N184" s="10">
        <v>1</v>
      </c>
      <c r="O184" s="10" t="s">
        <v>688</v>
      </c>
      <c r="P184" s="10">
        <v>3</v>
      </c>
      <c r="Q184" s="10" t="s">
        <v>265</v>
      </c>
      <c r="R184" s="10">
        <v>2</v>
      </c>
    </row>
    <row r="185" spans="2:18" x14ac:dyDescent="0.25">
      <c r="B185" s="10" t="s">
        <v>1172</v>
      </c>
      <c r="C185" s="10">
        <v>1</v>
      </c>
      <c r="D185" s="11" t="s">
        <v>30</v>
      </c>
      <c r="E185" s="10">
        <v>4</v>
      </c>
      <c r="F185" s="11" t="s">
        <v>542</v>
      </c>
      <c r="G185" s="10">
        <v>3</v>
      </c>
      <c r="H185" s="10" t="s">
        <v>1026</v>
      </c>
      <c r="I185" s="10">
        <v>1</v>
      </c>
      <c r="K185" s="13" t="s">
        <v>950</v>
      </c>
      <c r="L185" s="10">
        <v>1</v>
      </c>
      <c r="M185" s="13" t="s">
        <v>718</v>
      </c>
      <c r="N185" s="10">
        <v>2</v>
      </c>
      <c r="O185" s="10" t="s">
        <v>668</v>
      </c>
      <c r="P185" s="10">
        <v>4</v>
      </c>
      <c r="Q185" s="10" t="s">
        <v>690</v>
      </c>
      <c r="R185" s="10">
        <v>3</v>
      </c>
    </row>
    <row r="186" spans="2:18" x14ac:dyDescent="0.25">
      <c r="B186" s="11" t="s">
        <v>1686</v>
      </c>
      <c r="C186" s="11">
        <v>3</v>
      </c>
      <c r="D186" s="11" t="s">
        <v>1017</v>
      </c>
      <c r="E186" s="10">
        <v>1</v>
      </c>
      <c r="F186" s="11" t="s">
        <v>26</v>
      </c>
      <c r="G186" s="10">
        <v>4</v>
      </c>
      <c r="H186" s="10" t="s">
        <v>1660</v>
      </c>
      <c r="I186" s="10">
        <v>2</v>
      </c>
      <c r="K186" s="13" t="s">
        <v>715</v>
      </c>
      <c r="L186" s="10">
        <v>2</v>
      </c>
      <c r="M186" s="13" t="s">
        <v>682</v>
      </c>
      <c r="N186" s="10">
        <v>3</v>
      </c>
      <c r="O186" s="10" t="s">
        <v>942</v>
      </c>
      <c r="P186" s="10">
        <v>1</v>
      </c>
      <c r="Q186" s="10" t="s">
        <v>670</v>
      </c>
      <c r="R186" s="10">
        <v>4</v>
      </c>
    </row>
    <row r="187" spans="2:18" x14ac:dyDescent="0.25">
      <c r="B187" s="10" t="s">
        <v>1016</v>
      </c>
      <c r="C187" s="10">
        <v>1</v>
      </c>
      <c r="D187" s="11" t="s">
        <v>197</v>
      </c>
      <c r="E187" s="10">
        <v>2</v>
      </c>
      <c r="F187" s="10" t="s">
        <v>1021</v>
      </c>
      <c r="G187" s="10">
        <v>1</v>
      </c>
      <c r="H187" s="10" t="s">
        <v>21</v>
      </c>
      <c r="I187" s="10">
        <v>3</v>
      </c>
      <c r="K187" s="13" t="s">
        <v>679</v>
      </c>
      <c r="L187" s="10">
        <v>3</v>
      </c>
      <c r="M187" s="13" t="s">
        <v>662</v>
      </c>
      <c r="N187" s="10">
        <v>4</v>
      </c>
      <c r="O187" s="10" t="s">
        <v>262</v>
      </c>
      <c r="P187" s="10">
        <v>2</v>
      </c>
      <c r="Q187" s="10" t="s">
        <v>1182</v>
      </c>
      <c r="R187" s="10">
        <v>2</v>
      </c>
    </row>
    <row r="188" spans="2:18" x14ac:dyDescent="0.25">
      <c r="B188" s="10" t="s">
        <v>198</v>
      </c>
      <c r="C188" s="10">
        <v>2</v>
      </c>
      <c r="D188" s="11" t="s">
        <v>1681</v>
      </c>
      <c r="E188" s="10">
        <v>3</v>
      </c>
      <c r="F188" s="10" t="s">
        <v>1665</v>
      </c>
      <c r="G188" s="10">
        <v>2</v>
      </c>
      <c r="H188" s="10" t="s">
        <v>22</v>
      </c>
      <c r="I188" s="10">
        <v>4</v>
      </c>
      <c r="K188" s="13" t="s">
        <v>659</v>
      </c>
      <c r="L188" s="10">
        <v>4</v>
      </c>
      <c r="M188" s="4" t="s">
        <v>948</v>
      </c>
      <c r="N188" s="10">
        <v>1</v>
      </c>
      <c r="O188" s="10" t="s">
        <v>687</v>
      </c>
      <c r="P188" s="10">
        <v>3</v>
      </c>
      <c r="Q188" s="4" t="s">
        <v>1831</v>
      </c>
      <c r="R188" s="4">
        <v>2</v>
      </c>
    </row>
    <row r="189" spans="2:18" x14ac:dyDescent="0.25">
      <c r="B189" s="10" t="s">
        <v>1680</v>
      </c>
      <c r="C189" s="10">
        <v>3</v>
      </c>
      <c r="D189" s="11" t="s">
        <v>31</v>
      </c>
      <c r="E189" s="10">
        <v>4</v>
      </c>
      <c r="F189" s="10" t="s">
        <v>541</v>
      </c>
      <c r="G189" s="10">
        <v>3</v>
      </c>
      <c r="H189" s="10" t="s">
        <v>1025</v>
      </c>
      <c r="I189" s="10">
        <v>1</v>
      </c>
      <c r="K189" s="4" t="s">
        <v>951</v>
      </c>
      <c r="L189" s="10">
        <v>1</v>
      </c>
      <c r="M189" s="4" t="s">
        <v>717</v>
      </c>
      <c r="N189" s="10">
        <v>2</v>
      </c>
      <c r="O189" s="10" t="s">
        <v>667</v>
      </c>
      <c r="P189" s="10">
        <v>4</v>
      </c>
      <c r="Q189" s="4" t="s">
        <v>940</v>
      </c>
      <c r="R189" s="10">
        <v>1</v>
      </c>
    </row>
    <row r="190" spans="2:18" x14ac:dyDescent="0.25">
      <c r="B190" s="10" t="s">
        <v>32</v>
      </c>
      <c r="C190" s="10">
        <v>4</v>
      </c>
      <c r="D190" s="10" t="s">
        <v>187</v>
      </c>
      <c r="E190" s="10">
        <v>3</v>
      </c>
      <c r="F190" s="10" t="s">
        <v>27</v>
      </c>
      <c r="G190" s="10">
        <v>4</v>
      </c>
      <c r="H190" s="10" t="s">
        <v>1661</v>
      </c>
      <c r="I190" s="10">
        <v>2</v>
      </c>
      <c r="K190" s="4" t="s">
        <v>714</v>
      </c>
      <c r="L190" s="10">
        <v>2</v>
      </c>
      <c r="M190" s="4" t="s">
        <v>681</v>
      </c>
      <c r="N190" s="10">
        <v>3</v>
      </c>
      <c r="O190" s="4" t="s">
        <v>1207</v>
      </c>
      <c r="P190" s="4">
        <v>4</v>
      </c>
      <c r="Q190" s="4" t="s">
        <v>264</v>
      </c>
      <c r="R190" s="10">
        <v>2</v>
      </c>
    </row>
    <row r="191" spans="2:18" x14ac:dyDescent="0.25">
      <c r="B191" s="10" t="s">
        <v>1015</v>
      </c>
      <c r="C191" s="10">
        <v>1</v>
      </c>
      <c r="D191" s="10" t="s">
        <v>1172</v>
      </c>
      <c r="E191" s="10">
        <v>1</v>
      </c>
      <c r="F191" s="10" t="s">
        <v>179</v>
      </c>
      <c r="G191" s="10">
        <v>2</v>
      </c>
      <c r="H191" s="10" t="s">
        <v>545</v>
      </c>
      <c r="I191" s="10">
        <v>3</v>
      </c>
      <c r="K191" s="4" t="s">
        <v>678</v>
      </c>
      <c r="L191" s="10">
        <v>3</v>
      </c>
      <c r="M191" s="4" t="s">
        <v>661</v>
      </c>
      <c r="N191" s="10">
        <v>4</v>
      </c>
      <c r="O191" s="4" t="s">
        <v>943</v>
      </c>
      <c r="P191" s="10">
        <v>1</v>
      </c>
      <c r="Q191" s="4" t="s">
        <v>689</v>
      </c>
      <c r="R191" s="10">
        <v>3</v>
      </c>
    </row>
    <row r="192" spans="2:18" x14ac:dyDescent="0.25">
      <c r="B192" s="10" t="s">
        <v>199</v>
      </c>
      <c r="C192" s="10">
        <v>2</v>
      </c>
      <c r="D192" s="10" t="s">
        <v>181</v>
      </c>
      <c r="E192" s="10">
        <v>2</v>
      </c>
      <c r="F192" s="55" t="s">
        <v>1020</v>
      </c>
      <c r="G192" s="55">
        <v>1</v>
      </c>
      <c r="H192" s="10" t="s">
        <v>23</v>
      </c>
      <c r="I192" s="10">
        <v>4</v>
      </c>
      <c r="K192" s="4" t="s">
        <v>54</v>
      </c>
      <c r="L192" s="10">
        <v>4</v>
      </c>
      <c r="M192" s="13" t="s">
        <v>949</v>
      </c>
      <c r="N192" s="10">
        <v>1</v>
      </c>
      <c r="O192" s="4" t="s">
        <v>261</v>
      </c>
      <c r="P192" s="10">
        <v>2</v>
      </c>
      <c r="Q192" s="4" t="s">
        <v>669</v>
      </c>
      <c r="R192" s="10">
        <v>4</v>
      </c>
    </row>
    <row r="193" spans="2:18" x14ac:dyDescent="0.25">
      <c r="B193" s="10" t="s">
        <v>1679</v>
      </c>
      <c r="C193" s="10">
        <v>3</v>
      </c>
      <c r="D193" s="11" t="s">
        <v>1686</v>
      </c>
      <c r="E193" s="11">
        <v>3</v>
      </c>
      <c r="F193" s="55" t="s">
        <v>1666</v>
      </c>
      <c r="G193" s="55">
        <v>2</v>
      </c>
      <c r="H193" s="10" t="s">
        <v>1024</v>
      </c>
      <c r="I193" s="10">
        <v>1</v>
      </c>
      <c r="K193" s="4" t="s">
        <v>952</v>
      </c>
      <c r="L193" s="10">
        <v>1</v>
      </c>
      <c r="M193" s="13" t="s">
        <v>716</v>
      </c>
      <c r="N193" s="10">
        <v>2</v>
      </c>
      <c r="O193" s="4" t="s">
        <v>686</v>
      </c>
      <c r="P193" s="10">
        <v>3</v>
      </c>
      <c r="Q193" s="16" t="s">
        <v>941</v>
      </c>
      <c r="R193" s="16">
        <v>1</v>
      </c>
    </row>
    <row r="194" spans="2:18" x14ac:dyDescent="0.25">
      <c r="B194" s="10" t="s">
        <v>33</v>
      </c>
      <c r="C194" s="10">
        <v>4</v>
      </c>
      <c r="D194" s="10" t="s">
        <v>1016</v>
      </c>
      <c r="E194" s="10">
        <v>1</v>
      </c>
      <c r="F194" s="55" t="s">
        <v>1684</v>
      </c>
      <c r="G194" s="55">
        <v>3</v>
      </c>
      <c r="H194" s="10" t="s">
        <v>1662</v>
      </c>
      <c r="I194" s="10">
        <v>2</v>
      </c>
      <c r="K194" s="4" t="s">
        <v>713</v>
      </c>
      <c r="L194" s="10">
        <v>2</v>
      </c>
      <c r="M194" s="13" t="s">
        <v>680</v>
      </c>
      <c r="N194" s="10">
        <v>3</v>
      </c>
      <c r="O194" s="4" t="s">
        <v>666</v>
      </c>
      <c r="P194" s="10">
        <v>4</v>
      </c>
      <c r="Q194" s="16" t="s">
        <v>263</v>
      </c>
      <c r="R194" s="16">
        <v>2</v>
      </c>
    </row>
    <row r="195" spans="2:18" x14ac:dyDescent="0.25">
      <c r="B195" s="10" t="s">
        <v>188</v>
      </c>
      <c r="C195" s="10">
        <v>3</v>
      </c>
      <c r="D195" s="10" t="s">
        <v>198</v>
      </c>
      <c r="E195" s="10">
        <v>2</v>
      </c>
      <c r="F195" s="55" t="s">
        <v>28</v>
      </c>
      <c r="G195" s="55">
        <v>4</v>
      </c>
      <c r="H195" s="10" t="s">
        <v>544</v>
      </c>
      <c r="I195" s="10">
        <v>3</v>
      </c>
      <c r="K195" s="4" t="s">
        <v>677</v>
      </c>
      <c r="L195" s="10">
        <v>3</v>
      </c>
      <c r="M195" s="13" t="s">
        <v>660</v>
      </c>
      <c r="N195" s="10">
        <v>4</v>
      </c>
      <c r="O195" s="13" t="s">
        <v>944</v>
      </c>
      <c r="P195" s="10">
        <v>1</v>
      </c>
      <c r="Q195" s="16" t="s">
        <v>688</v>
      </c>
      <c r="R195" s="16">
        <v>3</v>
      </c>
    </row>
    <row r="196" spans="2:18" x14ac:dyDescent="0.25">
      <c r="B196" s="11" t="s">
        <v>1605</v>
      </c>
      <c r="C196" s="11">
        <v>4</v>
      </c>
      <c r="D196" s="10" t="s">
        <v>1680</v>
      </c>
      <c r="E196" s="10">
        <v>3</v>
      </c>
      <c r="F196" s="10" t="s">
        <v>170</v>
      </c>
      <c r="G196" s="10">
        <v>1</v>
      </c>
      <c r="H196" s="10" t="s">
        <v>24</v>
      </c>
      <c r="I196" s="10">
        <v>4</v>
      </c>
      <c r="K196" s="4" t="s">
        <v>53</v>
      </c>
      <c r="L196" s="10">
        <v>4</v>
      </c>
      <c r="M196" s="4" t="s">
        <v>876</v>
      </c>
      <c r="N196" s="4">
        <v>1</v>
      </c>
      <c r="O196" s="13" t="s">
        <v>260</v>
      </c>
      <c r="P196" s="10">
        <v>2</v>
      </c>
      <c r="Q196" s="16" t="s">
        <v>668</v>
      </c>
      <c r="R196" s="16">
        <v>4</v>
      </c>
    </row>
    <row r="197" spans="2:18" x14ac:dyDescent="0.25">
      <c r="B197" s="10" t="s">
        <v>182</v>
      </c>
      <c r="C197" s="10">
        <v>2</v>
      </c>
      <c r="D197" s="10" t="s">
        <v>32</v>
      </c>
      <c r="E197" s="10">
        <v>4</v>
      </c>
      <c r="F197" s="11" t="s">
        <v>1019</v>
      </c>
      <c r="G197" s="10">
        <v>1</v>
      </c>
      <c r="H197" s="10" t="s">
        <v>1940</v>
      </c>
      <c r="I197" s="10">
        <v>4</v>
      </c>
      <c r="K197" s="13" t="s">
        <v>953</v>
      </c>
      <c r="L197" s="10">
        <v>1</v>
      </c>
      <c r="M197" s="13" t="s">
        <v>950</v>
      </c>
      <c r="N197" s="10">
        <v>1</v>
      </c>
      <c r="O197" s="13" t="s">
        <v>685</v>
      </c>
      <c r="P197" s="10">
        <v>3</v>
      </c>
      <c r="Q197" s="10" t="s">
        <v>942</v>
      </c>
      <c r="R197" s="10">
        <v>1</v>
      </c>
    </row>
    <row r="198" spans="2:18" x14ac:dyDescent="0.25">
      <c r="B198" s="11" t="s">
        <v>1608</v>
      </c>
      <c r="C198" s="11">
        <v>4</v>
      </c>
      <c r="D198" s="10" t="s">
        <v>1015</v>
      </c>
      <c r="E198" s="10">
        <v>1</v>
      </c>
      <c r="F198" s="11" t="s">
        <v>1667</v>
      </c>
      <c r="G198" s="10">
        <v>2</v>
      </c>
      <c r="H198" s="14" t="s">
        <v>865</v>
      </c>
      <c r="I198" s="14">
        <v>4</v>
      </c>
      <c r="K198" s="13" t="s">
        <v>712</v>
      </c>
      <c r="L198" s="10">
        <v>2</v>
      </c>
      <c r="M198" s="13" t="s">
        <v>715</v>
      </c>
      <c r="N198" s="10">
        <v>2</v>
      </c>
      <c r="O198" s="13" t="s">
        <v>665</v>
      </c>
      <c r="P198" s="10">
        <v>4</v>
      </c>
      <c r="Q198" s="10" t="s">
        <v>262</v>
      </c>
      <c r="R198" s="10">
        <v>2</v>
      </c>
    </row>
    <row r="199" spans="2:18" x14ac:dyDescent="0.25">
      <c r="B199" s="10" t="s">
        <v>1013</v>
      </c>
      <c r="C199" s="10">
        <v>1</v>
      </c>
      <c r="D199" s="10" t="s">
        <v>199</v>
      </c>
      <c r="E199" s="10">
        <v>2</v>
      </c>
      <c r="F199" s="11" t="s">
        <v>1683</v>
      </c>
      <c r="G199" s="10">
        <v>3</v>
      </c>
      <c r="H199" s="11" t="s">
        <v>879</v>
      </c>
      <c r="I199" s="11">
        <v>2</v>
      </c>
      <c r="K199" s="13" t="s">
        <v>676</v>
      </c>
      <c r="L199" s="10">
        <v>3</v>
      </c>
      <c r="M199" s="13" t="s">
        <v>679</v>
      </c>
      <c r="N199" s="10">
        <v>3</v>
      </c>
      <c r="O199" s="10" t="s">
        <v>945</v>
      </c>
      <c r="P199" s="10">
        <v>1</v>
      </c>
      <c r="Q199" s="10" t="s">
        <v>687</v>
      </c>
      <c r="R199" s="10">
        <v>3</v>
      </c>
    </row>
    <row r="200" spans="2:18" x14ac:dyDescent="0.25">
      <c r="B200" s="10" t="s">
        <v>201</v>
      </c>
      <c r="C200" s="10">
        <v>2</v>
      </c>
      <c r="D200" s="10" t="s">
        <v>1679</v>
      </c>
      <c r="E200" s="10">
        <v>3</v>
      </c>
      <c r="F200" s="11" t="s">
        <v>29</v>
      </c>
      <c r="G200" s="10">
        <v>4</v>
      </c>
      <c r="H200" s="10" t="s">
        <v>471</v>
      </c>
      <c r="I200" s="10">
        <v>2</v>
      </c>
      <c r="K200" s="13" t="s">
        <v>52</v>
      </c>
      <c r="L200" s="10">
        <v>4</v>
      </c>
      <c r="M200" s="13" t="s">
        <v>659</v>
      </c>
      <c r="N200" s="10">
        <v>4</v>
      </c>
      <c r="O200" s="10" t="s">
        <v>259</v>
      </c>
      <c r="P200" s="10">
        <v>2</v>
      </c>
      <c r="Q200" s="10" t="s">
        <v>667</v>
      </c>
      <c r="R200" s="10">
        <v>4</v>
      </c>
    </row>
    <row r="201" spans="2:18" x14ac:dyDescent="0.25">
      <c r="B201" s="10" t="s">
        <v>206</v>
      </c>
      <c r="C201" s="10">
        <v>3</v>
      </c>
      <c r="D201" s="10" t="s">
        <v>33</v>
      </c>
      <c r="E201" s="10">
        <v>4</v>
      </c>
      <c r="F201" s="10" t="s">
        <v>1941</v>
      </c>
      <c r="G201" s="10">
        <v>4</v>
      </c>
      <c r="H201" s="11" t="s">
        <v>888</v>
      </c>
      <c r="I201" s="11">
        <v>1</v>
      </c>
      <c r="K201" s="13" t="s">
        <v>954</v>
      </c>
      <c r="L201" s="10">
        <v>1</v>
      </c>
      <c r="M201" s="10" t="s">
        <v>1863</v>
      </c>
      <c r="N201" s="10">
        <v>3</v>
      </c>
      <c r="O201" s="10" t="s">
        <v>684</v>
      </c>
      <c r="P201" s="10">
        <v>3</v>
      </c>
      <c r="Q201" s="4" t="s">
        <v>1207</v>
      </c>
      <c r="R201" s="4">
        <v>4</v>
      </c>
    </row>
    <row r="202" spans="2:18" x14ac:dyDescent="0.25">
      <c r="B202" s="10" t="s">
        <v>36</v>
      </c>
      <c r="C202" s="10">
        <v>4</v>
      </c>
      <c r="D202" s="10" t="s">
        <v>188</v>
      </c>
      <c r="E202" s="10">
        <v>3</v>
      </c>
      <c r="F202" s="10" t="s">
        <v>186</v>
      </c>
      <c r="G202" s="10">
        <v>3</v>
      </c>
      <c r="H202" s="10" t="s">
        <v>1023</v>
      </c>
      <c r="I202" s="10">
        <v>1</v>
      </c>
      <c r="K202" s="13" t="s">
        <v>711</v>
      </c>
      <c r="L202" s="10">
        <v>2</v>
      </c>
      <c r="M202" s="4" t="s">
        <v>951</v>
      </c>
      <c r="N202" s="10">
        <v>1</v>
      </c>
      <c r="O202" s="10" t="s">
        <v>664</v>
      </c>
      <c r="P202" s="10">
        <v>4</v>
      </c>
      <c r="Q202" s="4" t="s">
        <v>943</v>
      </c>
      <c r="R202" s="10">
        <v>1</v>
      </c>
    </row>
    <row r="203" spans="2:18" x14ac:dyDescent="0.25">
      <c r="B203" s="10" t="s">
        <v>1170</v>
      </c>
      <c r="C203" s="10">
        <v>2</v>
      </c>
      <c r="D203" s="10" t="s">
        <v>1014</v>
      </c>
      <c r="E203" s="10">
        <v>1</v>
      </c>
      <c r="F203" s="11" t="s">
        <v>1018</v>
      </c>
      <c r="G203" s="10">
        <v>1</v>
      </c>
      <c r="H203" s="10" t="s">
        <v>1663</v>
      </c>
      <c r="I203" s="10">
        <v>2</v>
      </c>
      <c r="K203" s="13" t="s">
        <v>675</v>
      </c>
      <c r="L203" s="10">
        <v>3</v>
      </c>
      <c r="M203" s="4" t="s">
        <v>714</v>
      </c>
      <c r="N203" s="10">
        <v>2</v>
      </c>
      <c r="O203" s="10" t="s">
        <v>1173</v>
      </c>
      <c r="P203" s="10">
        <v>1</v>
      </c>
      <c r="Q203" s="4" t="s">
        <v>261</v>
      </c>
      <c r="R203" s="10">
        <v>2</v>
      </c>
    </row>
    <row r="204" spans="2:18" x14ac:dyDescent="0.25">
      <c r="B204" s="10" t="s">
        <v>1856</v>
      </c>
      <c r="C204" s="10">
        <v>3</v>
      </c>
      <c r="D204" s="10" t="s">
        <v>200</v>
      </c>
      <c r="E204" s="10">
        <v>2</v>
      </c>
      <c r="F204" s="11" t="s">
        <v>1668</v>
      </c>
      <c r="G204" s="10">
        <v>2</v>
      </c>
      <c r="H204" s="10" t="s">
        <v>543</v>
      </c>
      <c r="I204" s="10">
        <v>3</v>
      </c>
      <c r="K204" s="13" t="s">
        <v>51</v>
      </c>
      <c r="L204" s="10">
        <v>4</v>
      </c>
      <c r="M204" s="4" t="s">
        <v>678</v>
      </c>
      <c r="N204" s="10">
        <v>3</v>
      </c>
      <c r="O204" s="10" t="s">
        <v>946</v>
      </c>
      <c r="P204" s="10">
        <v>1</v>
      </c>
      <c r="Q204" s="4" t="s">
        <v>686</v>
      </c>
      <c r="R204" s="10">
        <v>3</v>
      </c>
    </row>
    <row r="205" spans="2:18" x14ac:dyDescent="0.25">
      <c r="B205" s="11" t="s">
        <v>1877</v>
      </c>
      <c r="C205" s="11">
        <v>1</v>
      </c>
      <c r="D205" s="10" t="s">
        <v>34</v>
      </c>
      <c r="E205" s="10">
        <v>3</v>
      </c>
      <c r="F205" s="11" t="s">
        <v>1682</v>
      </c>
      <c r="G205" s="10">
        <v>3</v>
      </c>
      <c r="H205" s="10" t="s">
        <v>25</v>
      </c>
      <c r="I205" s="10">
        <v>4</v>
      </c>
      <c r="K205" s="4" t="s">
        <v>890</v>
      </c>
      <c r="L205" s="4">
        <v>2</v>
      </c>
      <c r="M205" s="4" t="s">
        <v>54</v>
      </c>
      <c r="N205" s="10">
        <v>4</v>
      </c>
      <c r="O205" s="10" t="s">
        <v>258</v>
      </c>
      <c r="P205" s="10">
        <v>2</v>
      </c>
      <c r="Q205" s="4" t="s">
        <v>666</v>
      </c>
      <c r="R205" s="10">
        <v>4</v>
      </c>
    </row>
    <row r="206" spans="2:18" x14ac:dyDescent="0.25">
      <c r="B206" s="10" t="s">
        <v>1770</v>
      </c>
      <c r="C206" s="10">
        <v>3</v>
      </c>
      <c r="D206" s="10" t="s">
        <v>35</v>
      </c>
      <c r="E206" s="10">
        <v>4</v>
      </c>
      <c r="F206" s="11" t="s">
        <v>30</v>
      </c>
      <c r="G206" s="10">
        <v>4</v>
      </c>
      <c r="H206" s="11" t="s">
        <v>1022</v>
      </c>
      <c r="I206" s="10">
        <v>1</v>
      </c>
      <c r="K206" s="10" t="s">
        <v>1183</v>
      </c>
      <c r="L206" s="10">
        <v>1</v>
      </c>
      <c r="M206" s="4" t="s">
        <v>952</v>
      </c>
      <c r="N206" s="10">
        <v>1</v>
      </c>
      <c r="O206" s="10" t="s">
        <v>683</v>
      </c>
      <c r="P206" s="10">
        <v>3</v>
      </c>
      <c r="Q206" s="14" t="s">
        <v>1861</v>
      </c>
      <c r="R206" s="14">
        <v>3</v>
      </c>
    </row>
    <row r="207" spans="2:18" x14ac:dyDescent="0.25">
      <c r="B207" s="11" t="s">
        <v>1834</v>
      </c>
      <c r="C207" s="11">
        <v>1</v>
      </c>
      <c r="D207" s="11" t="s">
        <v>1605</v>
      </c>
      <c r="E207" s="11">
        <v>4</v>
      </c>
      <c r="F207" s="11" t="s">
        <v>1017</v>
      </c>
      <c r="G207" s="10">
        <v>1</v>
      </c>
      <c r="H207" s="11" t="s">
        <v>1664</v>
      </c>
      <c r="I207" s="10">
        <v>2</v>
      </c>
      <c r="K207" s="13" t="s">
        <v>955</v>
      </c>
      <c r="L207" s="10">
        <v>1</v>
      </c>
      <c r="M207" s="4" t="s">
        <v>713</v>
      </c>
      <c r="N207" s="10">
        <v>2</v>
      </c>
      <c r="O207" s="10" t="s">
        <v>663</v>
      </c>
      <c r="P207" s="10">
        <v>4</v>
      </c>
      <c r="Q207" s="13" t="s">
        <v>944</v>
      </c>
      <c r="R207" s="10">
        <v>1</v>
      </c>
    </row>
    <row r="208" spans="2:18" x14ac:dyDescent="0.25">
      <c r="B208" s="10" t="s">
        <v>1012</v>
      </c>
      <c r="C208" s="10">
        <v>1</v>
      </c>
      <c r="D208" s="10" t="s">
        <v>182</v>
      </c>
      <c r="E208" s="10">
        <v>2</v>
      </c>
      <c r="F208" s="11" t="s">
        <v>197</v>
      </c>
      <c r="G208" s="10">
        <v>2</v>
      </c>
      <c r="H208" s="11" t="s">
        <v>542</v>
      </c>
      <c r="I208" s="10">
        <v>3</v>
      </c>
      <c r="K208" s="13" t="s">
        <v>710</v>
      </c>
      <c r="L208" s="10">
        <v>2</v>
      </c>
      <c r="M208" s="4" t="s">
        <v>677</v>
      </c>
      <c r="N208" s="10">
        <v>3</v>
      </c>
      <c r="O208" s="13" t="s">
        <v>947</v>
      </c>
      <c r="P208" s="10">
        <v>1</v>
      </c>
      <c r="Q208" s="13" t="s">
        <v>260</v>
      </c>
      <c r="R208" s="10">
        <v>2</v>
      </c>
    </row>
    <row r="209" spans="2:18" x14ac:dyDescent="0.25">
      <c r="B209" s="10" t="s">
        <v>202</v>
      </c>
      <c r="C209" s="10">
        <v>2</v>
      </c>
      <c r="D209" s="10" t="s">
        <v>1774</v>
      </c>
      <c r="E209" s="10">
        <v>3</v>
      </c>
      <c r="F209" s="11" t="s">
        <v>1681</v>
      </c>
      <c r="G209" s="10">
        <v>3</v>
      </c>
      <c r="H209" s="11" t="s">
        <v>26</v>
      </c>
      <c r="I209" s="10">
        <v>4</v>
      </c>
      <c r="K209" s="13" t="s">
        <v>1817</v>
      </c>
      <c r="L209" s="10">
        <v>3</v>
      </c>
      <c r="M209" s="4" t="s">
        <v>53</v>
      </c>
      <c r="N209" s="10">
        <v>4</v>
      </c>
      <c r="O209" s="13" t="s">
        <v>718</v>
      </c>
      <c r="P209" s="10">
        <v>2</v>
      </c>
      <c r="Q209" s="13" t="s">
        <v>685</v>
      </c>
      <c r="R209" s="10">
        <v>3</v>
      </c>
    </row>
    <row r="210" spans="2:18" x14ac:dyDescent="0.25">
      <c r="B210" s="10" t="s">
        <v>205</v>
      </c>
      <c r="C210" s="10">
        <v>3</v>
      </c>
      <c r="D210" s="10" t="s">
        <v>1013</v>
      </c>
      <c r="E210" s="10">
        <v>1</v>
      </c>
      <c r="F210" s="11" t="s">
        <v>31</v>
      </c>
      <c r="G210" s="10">
        <v>4</v>
      </c>
      <c r="H210" s="10" t="s">
        <v>1021</v>
      </c>
      <c r="I210" s="10">
        <v>1</v>
      </c>
      <c r="K210" s="13" t="s">
        <v>50</v>
      </c>
      <c r="L210" s="10">
        <v>4</v>
      </c>
      <c r="M210" s="13" t="s">
        <v>953</v>
      </c>
      <c r="N210" s="10">
        <v>1</v>
      </c>
      <c r="O210" s="13" t="s">
        <v>682</v>
      </c>
      <c r="P210" s="10">
        <v>3</v>
      </c>
      <c r="Q210" s="13" t="s">
        <v>665</v>
      </c>
      <c r="R210" s="10">
        <v>4</v>
      </c>
    </row>
    <row r="211" spans="2:18" x14ac:dyDescent="0.25">
      <c r="B211" s="10" t="s">
        <v>37</v>
      </c>
      <c r="C211" s="10">
        <v>4</v>
      </c>
      <c r="D211" s="10" t="s">
        <v>201</v>
      </c>
      <c r="E211" s="10">
        <v>2</v>
      </c>
      <c r="F211" s="10" t="s">
        <v>187</v>
      </c>
      <c r="G211" s="10">
        <v>3</v>
      </c>
      <c r="H211" s="10" t="s">
        <v>1665</v>
      </c>
      <c r="I211" s="10">
        <v>2</v>
      </c>
      <c r="K211" s="10" t="s">
        <v>1779</v>
      </c>
      <c r="L211" s="10">
        <v>4</v>
      </c>
      <c r="M211" s="13" t="s">
        <v>712</v>
      </c>
      <c r="N211" s="10">
        <v>2</v>
      </c>
      <c r="O211" s="13" t="s">
        <v>662</v>
      </c>
      <c r="P211" s="10">
        <v>4</v>
      </c>
      <c r="Q211" s="14" t="s">
        <v>945</v>
      </c>
      <c r="R211" s="14">
        <v>1</v>
      </c>
    </row>
    <row r="212" spans="2:18" x14ac:dyDescent="0.25">
      <c r="B212" s="213" t="s">
        <v>1973</v>
      </c>
      <c r="C212" s="213">
        <v>2</v>
      </c>
      <c r="D212" s="10" t="s">
        <v>206</v>
      </c>
      <c r="E212" s="10">
        <v>3</v>
      </c>
      <c r="F212" s="10" t="s">
        <v>1942</v>
      </c>
      <c r="G212" s="10">
        <v>4</v>
      </c>
      <c r="H212" s="10" t="s">
        <v>541</v>
      </c>
      <c r="I212" s="10">
        <v>3</v>
      </c>
      <c r="K212" s="10" t="s">
        <v>1766</v>
      </c>
      <c r="L212" s="10">
        <v>3</v>
      </c>
      <c r="M212" s="13" t="s">
        <v>676</v>
      </c>
      <c r="N212" s="10">
        <v>3</v>
      </c>
      <c r="O212" s="4" t="s">
        <v>948</v>
      </c>
      <c r="P212" s="10">
        <v>1</v>
      </c>
      <c r="Q212" s="14" t="s">
        <v>259</v>
      </c>
      <c r="R212" s="14">
        <v>2</v>
      </c>
    </row>
    <row r="213" spans="2:18" x14ac:dyDescent="0.25">
      <c r="B213" s="10" t="s">
        <v>183</v>
      </c>
      <c r="C213" s="10">
        <v>2</v>
      </c>
      <c r="D213" s="10" t="s">
        <v>36</v>
      </c>
      <c r="E213" s="10">
        <v>4</v>
      </c>
      <c r="F213" s="10" t="s">
        <v>1172</v>
      </c>
      <c r="G213" s="10">
        <v>1</v>
      </c>
      <c r="H213" s="10" t="s">
        <v>27</v>
      </c>
      <c r="I213" s="10">
        <v>4</v>
      </c>
      <c r="K213" s="13" t="s">
        <v>956</v>
      </c>
      <c r="L213" s="10">
        <v>1</v>
      </c>
      <c r="M213" s="13" t="s">
        <v>52</v>
      </c>
      <c r="N213" s="10">
        <v>4</v>
      </c>
      <c r="O213" s="4" t="s">
        <v>717</v>
      </c>
      <c r="P213" s="10">
        <v>2</v>
      </c>
      <c r="Q213" s="14" t="s">
        <v>684</v>
      </c>
      <c r="R213" s="14">
        <v>3</v>
      </c>
    </row>
    <row r="214" spans="2:18" x14ac:dyDescent="0.25">
      <c r="B214" s="10" t="s">
        <v>1011</v>
      </c>
      <c r="C214" s="10">
        <v>1</v>
      </c>
      <c r="D214" s="10" t="s">
        <v>1170</v>
      </c>
      <c r="E214" s="10">
        <v>2</v>
      </c>
      <c r="F214" s="10" t="s">
        <v>181</v>
      </c>
      <c r="G214" s="10">
        <v>2</v>
      </c>
      <c r="H214" s="14" t="s">
        <v>179</v>
      </c>
      <c r="I214" s="14">
        <v>2</v>
      </c>
      <c r="K214" s="13" t="s">
        <v>709</v>
      </c>
      <c r="L214" s="10">
        <v>2</v>
      </c>
      <c r="M214" s="4" t="s">
        <v>890</v>
      </c>
      <c r="N214" s="4">
        <v>2</v>
      </c>
      <c r="O214" s="4" t="s">
        <v>681</v>
      </c>
      <c r="P214" s="10">
        <v>3</v>
      </c>
      <c r="Q214" s="14" t="s">
        <v>664</v>
      </c>
      <c r="R214" s="14">
        <v>4</v>
      </c>
    </row>
    <row r="215" spans="2:18" x14ac:dyDescent="0.25">
      <c r="B215" s="10" t="s">
        <v>203</v>
      </c>
      <c r="C215" s="10">
        <v>2</v>
      </c>
      <c r="D215" s="11" t="s">
        <v>1877</v>
      </c>
      <c r="E215" s="11">
        <v>1</v>
      </c>
      <c r="F215" s="11" t="s">
        <v>1686</v>
      </c>
      <c r="G215" s="11">
        <v>3</v>
      </c>
      <c r="H215" s="14" t="s">
        <v>1548</v>
      </c>
      <c r="I215" s="14">
        <v>1</v>
      </c>
      <c r="K215" s="13" t="s">
        <v>1816</v>
      </c>
      <c r="L215" s="10">
        <v>3</v>
      </c>
      <c r="M215" s="13" t="s">
        <v>955</v>
      </c>
      <c r="N215" s="10">
        <v>1</v>
      </c>
      <c r="O215" s="4" t="s">
        <v>661</v>
      </c>
      <c r="P215" s="10">
        <v>4</v>
      </c>
      <c r="Q215" s="10" t="s">
        <v>1173</v>
      </c>
      <c r="R215" s="10">
        <v>1</v>
      </c>
    </row>
    <row r="216" spans="2:18" x14ac:dyDescent="0.25">
      <c r="B216" s="10" t="s">
        <v>204</v>
      </c>
      <c r="C216" s="10">
        <v>3</v>
      </c>
      <c r="D216" s="10" t="s">
        <v>1770</v>
      </c>
      <c r="E216" s="10">
        <v>3</v>
      </c>
      <c r="F216" s="10" t="s">
        <v>1016</v>
      </c>
      <c r="G216" s="10">
        <v>1</v>
      </c>
      <c r="H216" s="14" t="s">
        <v>1545</v>
      </c>
      <c r="I216" s="14">
        <v>2</v>
      </c>
      <c r="K216" s="13" t="s">
        <v>49</v>
      </c>
      <c r="L216" s="10">
        <v>4</v>
      </c>
      <c r="M216" s="13" t="s">
        <v>710</v>
      </c>
      <c r="N216" s="10">
        <v>2</v>
      </c>
      <c r="O216" s="13" t="s">
        <v>949</v>
      </c>
      <c r="P216" s="10">
        <v>1</v>
      </c>
      <c r="Q216" s="10" t="s">
        <v>946</v>
      </c>
      <c r="R216" s="10">
        <v>1</v>
      </c>
    </row>
    <row r="217" spans="2:18" x14ac:dyDescent="0.25">
      <c r="B217" s="10" t="s">
        <v>38</v>
      </c>
      <c r="C217" s="10">
        <v>4</v>
      </c>
      <c r="D217" s="11" t="s">
        <v>1834</v>
      </c>
      <c r="E217" s="11">
        <v>1</v>
      </c>
      <c r="F217" s="10" t="s">
        <v>198</v>
      </c>
      <c r="G217" s="10">
        <v>2</v>
      </c>
      <c r="H217" s="16" t="s">
        <v>1020</v>
      </c>
      <c r="I217" s="16">
        <v>1</v>
      </c>
      <c r="K217" s="13" t="s">
        <v>957</v>
      </c>
      <c r="L217" s="10">
        <v>1</v>
      </c>
      <c r="M217" s="13" t="s">
        <v>1817</v>
      </c>
      <c r="N217" s="10">
        <v>3</v>
      </c>
      <c r="O217" s="13" t="s">
        <v>716</v>
      </c>
      <c r="P217" s="10">
        <v>2</v>
      </c>
      <c r="Q217" s="10" t="s">
        <v>258</v>
      </c>
      <c r="R217" s="10">
        <v>2</v>
      </c>
    </row>
    <row r="218" spans="2:18" x14ac:dyDescent="0.25">
      <c r="D218" s="213" t="s">
        <v>1973</v>
      </c>
      <c r="E218" s="213">
        <v>2</v>
      </c>
      <c r="F218" s="10" t="s">
        <v>1680</v>
      </c>
      <c r="G218" s="10">
        <v>3</v>
      </c>
      <c r="H218" s="16" t="s">
        <v>1666</v>
      </c>
      <c r="I218" s="16">
        <v>2</v>
      </c>
      <c r="K218" s="13" t="s">
        <v>708</v>
      </c>
      <c r="L218" s="10">
        <v>2</v>
      </c>
      <c r="M218" s="13" t="s">
        <v>50</v>
      </c>
      <c r="N218" s="10">
        <v>4</v>
      </c>
      <c r="O218" s="13" t="s">
        <v>680</v>
      </c>
      <c r="P218" s="10">
        <v>3</v>
      </c>
      <c r="Q218" s="10" t="s">
        <v>683</v>
      </c>
      <c r="R218" s="10">
        <v>3</v>
      </c>
    </row>
    <row r="219" spans="2:18" x14ac:dyDescent="0.25">
      <c r="D219" s="10" t="s">
        <v>183</v>
      </c>
      <c r="E219" s="10">
        <v>2</v>
      </c>
      <c r="F219" s="10" t="s">
        <v>32</v>
      </c>
      <c r="G219" s="10">
        <v>4</v>
      </c>
      <c r="H219" s="16" t="s">
        <v>1684</v>
      </c>
      <c r="I219" s="16">
        <v>3</v>
      </c>
      <c r="K219" s="13" t="s">
        <v>1815</v>
      </c>
      <c r="L219" s="10">
        <v>3</v>
      </c>
      <c r="M219" s="13" t="s">
        <v>1779</v>
      </c>
      <c r="N219" s="213">
        <v>4</v>
      </c>
      <c r="O219" s="13" t="s">
        <v>660</v>
      </c>
      <c r="P219" s="10">
        <v>4</v>
      </c>
      <c r="Q219" s="55" t="s">
        <v>663</v>
      </c>
      <c r="R219" s="55">
        <v>4</v>
      </c>
    </row>
    <row r="220" spans="2:18" x14ac:dyDescent="0.25">
      <c r="D220" s="10" t="s">
        <v>1011</v>
      </c>
      <c r="E220" s="10">
        <v>1</v>
      </c>
      <c r="F220" s="10" t="s">
        <v>1015</v>
      </c>
      <c r="G220" s="10">
        <v>1</v>
      </c>
      <c r="H220" s="16" t="s">
        <v>28</v>
      </c>
      <c r="I220" s="16">
        <v>4</v>
      </c>
      <c r="K220" s="13" t="s">
        <v>48</v>
      </c>
      <c r="L220" s="10">
        <v>4</v>
      </c>
      <c r="M220" s="10" t="s">
        <v>1766</v>
      </c>
      <c r="N220" s="10">
        <v>3</v>
      </c>
      <c r="O220" s="4" t="s">
        <v>876</v>
      </c>
      <c r="P220" s="4">
        <v>1</v>
      </c>
      <c r="Q220" s="19" t="s">
        <v>947</v>
      </c>
      <c r="R220" s="14">
        <v>1</v>
      </c>
    </row>
    <row r="221" spans="2:18" x14ac:dyDescent="0.25">
      <c r="D221" s="10" t="s">
        <v>203</v>
      </c>
      <c r="E221" s="10">
        <v>2</v>
      </c>
      <c r="F221" s="10" t="s">
        <v>199</v>
      </c>
      <c r="G221" s="10">
        <v>2</v>
      </c>
      <c r="H221" s="10" t="s">
        <v>170</v>
      </c>
      <c r="I221" s="10">
        <v>1</v>
      </c>
      <c r="K221" s="10" t="s">
        <v>1185</v>
      </c>
      <c r="L221" s="10">
        <v>2</v>
      </c>
      <c r="M221" s="13" t="s">
        <v>956</v>
      </c>
      <c r="N221" s="10">
        <v>1</v>
      </c>
      <c r="O221" s="13" t="s">
        <v>950</v>
      </c>
      <c r="P221" s="10">
        <v>1</v>
      </c>
      <c r="Q221" s="19" t="s">
        <v>718</v>
      </c>
      <c r="R221" s="14">
        <v>2</v>
      </c>
    </row>
    <row r="222" spans="2:18" x14ac:dyDescent="0.25">
      <c r="D222" s="10" t="s">
        <v>204</v>
      </c>
      <c r="E222" s="10">
        <v>3</v>
      </c>
      <c r="F222" s="10" t="s">
        <v>1679</v>
      </c>
      <c r="G222" s="10">
        <v>3</v>
      </c>
      <c r="H222" s="11" t="s">
        <v>1019</v>
      </c>
      <c r="I222" s="10">
        <v>1</v>
      </c>
      <c r="K222" s="213" t="s">
        <v>1976</v>
      </c>
      <c r="L222" s="10">
        <v>1</v>
      </c>
      <c r="M222" s="13" t="s">
        <v>709</v>
      </c>
      <c r="N222" s="10">
        <v>2</v>
      </c>
      <c r="O222" s="13" t="s">
        <v>715</v>
      </c>
      <c r="P222" s="10">
        <v>2</v>
      </c>
      <c r="Q222" s="19" t="s">
        <v>682</v>
      </c>
      <c r="R222" s="14">
        <v>3</v>
      </c>
    </row>
    <row r="223" spans="2:18" x14ac:dyDescent="0.25">
      <c r="D223" s="10" t="s">
        <v>38</v>
      </c>
      <c r="E223" s="10">
        <v>4</v>
      </c>
      <c r="F223" s="10" t="s">
        <v>33</v>
      </c>
      <c r="G223" s="10">
        <v>4</v>
      </c>
      <c r="H223" s="11" t="s">
        <v>1667</v>
      </c>
      <c r="I223" s="10">
        <v>2</v>
      </c>
      <c r="K223" s="213" t="s">
        <v>1977</v>
      </c>
      <c r="L223" s="10">
        <v>2</v>
      </c>
      <c r="M223" s="13" t="s">
        <v>1816</v>
      </c>
      <c r="N223" s="10">
        <v>3</v>
      </c>
      <c r="O223" s="13" t="s">
        <v>679</v>
      </c>
      <c r="P223" s="10">
        <v>3</v>
      </c>
      <c r="Q223" s="19" t="s">
        <v>662</v>
      </c>
      <c r="R223" s="14">
        <v>4</v>
      </c>
    </row>
    <row r="224" spans="2:18" x14ac:dyDescent="0.25">
      <c r="F224" s="10" t="s">
        <v>188</v>
      </c>
      <c r="G224" s="10">
        <v>3</v>
      </c>
      <c r="H224" s="11" t="s">
        <v>1683</v>
      </c>
      <c r="I224" s="10">
        <v>3</v>
      </c>
      <c r="K224" s="213" t="s">
        <v>1978</v>
      </c>
      <c r="L224" s="10">
        <v>3</v>
      </c>
      <c r="M224" s="13" t="s">
        <v>49</v>
      </c>
      <c r="N224" s="10">
        <v>4</v>
      </c>
      <c r="O224" s="13" t="s">
        <v>659</v>
      </c>
      <c r="P224" s="10">
        <v>4</v>
      </c>
      <c r="Q224" s="4" t="s">
        <v>948</v>
      </c>
      <c r="R224" s="10">
        <v>1</v>
      </c>
    </row>
    <row r="225" spans="6:18" x14ac:dyDescent="0.25">
      <c r="F225" s="10" t="s">
        <v>1014</v>
      </c>
      <c r="G225" s="10">
        <v>1</v>
      </c>
      <c r="H225" s="11" t="s">
        <v>29</v>
      </c>
      <c r="I225" s="10">
        <v>4</v>
      </c>
      <c r="K225" s="213" t="s">
        <v>1979</v>
      </c>
      <c r="L225" s="10">
        <v>4</v>
      </c>
      <c r="M225" s="13" t="s">
        <v>957</v>
      </c>
      <c r="N225" s="10">
        <v>1</v>
      </c>
      <c r="O225" s="10" t="s">
        <v>1863</v>
      </c>
      <c r="P225" s="10">
        <v>3</v>
      </c>
      <c r="Q225" s="4" t="s">
        <v>717</v>
      </c>
      <c r="R225" s="10">
        <v>2</v>
      </c>
    </row>
    <row r="226" spans="6:18" x14ac:dyDescent="0.25">
      <c r="F226" s="10" t="s">
        <v>200</v>
      </c>
      <c r="G226" s="10">
        <v>2</v>
      </c>
      <c r="H226" s="14" t="s">
        <v>1184</v>
      </c>
      <c r="I226" s="14">
        <v>1</v>
      </c>
      <c r="K226" s="13" t="s">
        <v>959</v>
      </c>
      <c r="L226" s="10">
        <v>1</v>
      </c>
      <c r="M226" s="13" t="s">
        <v>708</v>
      </c>
      <c r="N226" s="10">
        <v>2</v>
      </c>
      <c r="O226" s="4" t="s">
        <v>951</v>
      </c>
      <c r="P226" s="10">
        <v>1</v>
      </c>
      <c r="Q226" s="4" t="s">
        <v>681</v>
      </c>
      <c r="R226" s="10">
        <v>3</v>
      </c>
    </row>
    <row r="227" spans="6:18" x14ac:dyDescent="0.25">
      <c r="F227" s="10" t="s">
        <v>34</v>
      </c>
      <c r="G227" s="10">
        <v>3</v>
      </c>
      <c r="H227" s="14" t="s">
        <v>1941</v>
      </c>
      <c r="I227" s="14">
        <v>4</v>
      </c>
      <c r="K227" s="13" t="s">
        <v>706</v>
      </c>
      <c r="L227" s="10">
        <v>2</v>
      </c>
      <c r="M227" s="13" t="s">
        <v>1815</v>
      </c>
      <c r="N227" s="10">
        <v>3</v>
      </c>
      <c r="O227" s="4" t="s">
        <v>714</v>
      </c>
      <c r="P227" s="10">
        <v>2</v>
      </c>
      <c r="Q227" s="4" t="s">
        <v>661</v>
      </c>
      <c r="R227" s="10">
        <v>4</v>
      </c>
    </row>
    <row r="228" spans="6:18" x14ac:dyDescent="0.25">
      <c r="F228" s="10" t="s">
        <v>35</v>
      </c>
      <c r="G228" s="10">
        <v>4</v>
      </c>
      <c r="H228" s="14" t="s">
        <v>186</v>
      </c>
      <c r="I228" s="14">
        <v>3</v>
      </c>
      <c r="K228" s="13" t="s">
        <v>1813</v>
      </c>
      <c r="L228" s="10">
        <v>3</v>
      </c>
      <c r="M228" s="13" t="s">
        <v>48</v>
      </c>
      <c r="N228" s="10">
        <v>4</v>
      </c>
      <c r="O228" s="4" t="s">
        <v>678</v>
      </c>
      <c r="P228" s="10">
        <v>3</v>
      </c>
      <c r="Q228" s="13" t="s">
        <v>949</v>
      </c>
      <c r="R228" s="10">
        <v>1</v>
      </c>
    </row>
    <row r="229" spans="6:18" x14ac:dyDescent="0.25">
      <c r="F229" s="11" t="s">
        <v>1546</v>
      </c>
      <c r="G229" s="10">
        <v>1</v>
      </c>
      <c r="H229" s="11" t="s">
        <v>1018</v>
      </c>
      <c r="I229" s="10">
        <v>1</v>
      </c>
      <c r="K229" s="13" t="s">
        <v>46</v>
      </c>
      <c r="L229" s="10">
        <v>4</v>
      </c>
      <c r="M229" s="10" t="s">
        <v>1781</v>
      </c>
      <c r="N229" s="10">
        <v>4</v>
      </c>
      <c r="O229" s="4" t="s">
        <v>54</v>
      </c>
      <c r="P229" s="10">
        <v>4</v>
      </c>
      <c r="Q229" s="13" t="s">
        <v>716</v>
      </c>
      <c r="R229" s="10">
        <v>2</v>
      </c>
    </row>
    <row r="230" spans="6:18" x14ac:dyDescent="0.25">
      <c r="F230" s="11" t="s">
        <v>1547</v>
      </c>
      <c r="G230" s="10">
        <v>2</v>
      </c>
      <c r="H230" s="11" t="s">
        <v>1668</v>
      </c>
      <c r="I230" s="10">
        <v>2</v>
      </c>
      <c r="K230" s="10" t="s">
        <v>758</v>
      </c>
      <c r="L230" s="10">
        <v>4</v>
      </c>
      <c r="M230" s="213" t="s">
        <v>1976</v>
      </c>
      <c r="N230" s="10">
        <v>1</v>
      </c>
      <c r="O230" s="4" t="s">
        <v>952</v>
      </c>
      <c r="P230" s="10">
        <v>1</v>
      </c>
      <c r="Q230" s="13" t="s">
        <v>680</v>
      </c>
      <c r="R230" s="10">
        <v>3</v>
      </c>
    </row>
    <row r="231" spans="6:18" x14ac:dyDescent="0.25">
      <c r="F231" s="11" t="s">
        <v>1605</v>
      </c>
      <c r="G231" s="11">
        <v>4</v>
      </c>
      <c r="H231" s="11" t="s">
        <v>1682</v>
      </c>
      <c r="I231" s="10">
        <v>3</v>
      </c>
      <c r="K231" s="13" t="s">
        <v>826</v>
      </c>
      <c r="L231" s="10">
        <v>2</v>
      </c>
      <c r="M231" s="213" t="s">
        <v>1977</v>
      </c>
      <c r="N231" s="10">
        <v>2</v>
      </c>
      <c r="O231" s="4" t="s">
        <v>713</v>
      </c>
      <c r="P231" s="10">
        <v>2</v>
      </c>
      <c r="Q231" s="13" t="s">
        <v>660</v>
      </c>
      <c r="R231" s="10">
        <v>4</v>
      </c>
    </row>
    <row r="232" spans="6:18" x14ac:dyDescent="0.25">
      <c r="F232" s="10" t="s">
        <v>182</v>
      </c>
      <c r="G232" s="10">
        <v>2</v>
      </c>
      <c r="H232" s="11" t="s">
        <v>30</v>
      </c>
      <c r="I232" s="10">
        <v>4</v>
      </c>
      <c r="K232" s="13" t="s">
        <v>827</v>
      </c>
      <c r="L232" s="10">
        <v>4</v>
      </c>
      <c r="M232" s="213" t="s">
        <v>1978</v>
      </c>
      <c r="N232" s="10">
        <v>3</v>
      </c>
      <c r="O232" s="4" t="s">
        <v>677</v>
      </c>
      <c r="P232" s="10">
        <v>3</v>
      </c>
      <c r="Q232" s="4" t="s">
        <v>876</v>
      </c>
      <c r="R232" s="4">
        <v>1</v>
      </c>
    </row>
    <row r="233" spans="6:18" x14ac:dyDescent="0.25">
      <c r="F233" s="10" t="s">
        <v>1774</v>
      </c>
      <c r="G233" s="10">
        <v>3</v>
      </c>
      <c r="H233" s="11" t="s">
        <v>1017</v>
      </c>
      <c r="I233" s="10">
        <v>1</v>
      </c>
      <c r="K233" s="14" t="s">
        <v>292</v>
      </c>
      <c r="L233" s="14">
        <v>2</v>
      </c>
      <c r="M233" s="213" t="s">
        <v>1979</v>
      </c>
      <c r="N233" s="10">
        <v>4</v>
      </c>
      <c r="O233" s="4" t="s">
        <v>53</v>
      </c>
      <c r="P233" s="10">
        <v>4</v>
      </c>
      <c r="Q233" s="13" t="s">
        <v>950</v>
      </c>
      <c r="R233" s="10">
        <v>1</v>
      </c>
    </row>
    <row r="234" spans="6:18" x14ac:dyDescent="0.25">
      <c r="F234" s="10" t="s">
        <v>1013</v>
      </c>
      <c r="G234" s="10">
        <v>1</v>
      </c>
      <c r="H234" s="11" t="s">
        <v>197</v>
      </c>
      <c r="I234" s="10">
        <v>2</v>
      </c>
      <c r="K234" s="14" t="s">
        <v>293</v>
      </c>
      <c r="L234" s="14">
        <v>2</v>
      </c>
      <c r="M234" s="13" t="s">
        <v>959</v>
      </c>
      <c r="N234" s="10">
        <v>1</v>
      </c>
      <c r="O234" s="13" t="s">
        <v>953</v>
      </c>
      <c r="P234" s="10">
        <v>1</v>
      </c>
      <c r="Q234" s="13" t="s">
        <v>715</v>
      </c>
      <c r="R234" s="10">
        <v>2</v>
      </c>
    </row>
    <row r="235" spans="6:18" x14ac:dyDescent="0.25">
      <c r="F235" s="10" t="s">
        <v>201</v>
      </c>
      <c r="G235" s="10">
        <v>2</v>
      </c>
      <c r="H235" s="11" t="s">
        <v>1681</v>
      </c>
      <c r="I235" s="10">
        <v>3</v>
      </c>
      <c r="K235" s="14" t="s">
        <v>291</v>
      </c>
      <c r="L235" s="14">
        <v>4</v>
      </c>
      <c r="M235" s="13" t="s">
        <v>706</v>
      </c>
      <c r="N235" s="10">
        <v>2</v>
      </c>
      <c r="O235" s="13" t="s">
        <v>712</v>
      </c>
      <c r="P235" s="10">
        <v>2</v>
      </c>
      <c r="Q235" s="13" t="s">
        <v>679</v>
      </c>
      <c r="R235" s="10">
        <v>3</v>
      </c>
    </row>
    <row r="236" spans="6:18" x14ac:dyDescent="0.25">
      <c r="F236" s="10" t="s">
        <v>206</v>
      </c>
      <c r="G236" s="10">
        <v>3</v>
      </c>
      <c r="H236" s="11" t="s">
        <v>31</v>
      </c>
      <c r="I236" s="10">
        <v>4</v>
      </c>
      <c r="K236" s="10" t="s">
        <v>1769</v>
      </c>
      <c r="L236" s="10">
        <v>3</v>
      </c>
      <c r="M236" s="13" t="s">
        <v>1813</v>
      </c>
      <c r="N236" s="10">
        <v>3</v>
      </c>
      <c r="O236" s="13" t="s">
        <v>676</v>
      </c>
      <c r="P236" s="10">
        <v>3</v>
      </c>
      <c r="Q236" s="13" t="s">
        <v>659</v>
      </c>
      <c r="R236" s="10">
        <v>4</v>
      </c>
    </row>
    <row r="237" spans="6:18" x14ac:dyDescent="0.25">
      <c r="F237" s="10" t="s">
        <v>36</v>
      </c>
      <c r="G237" s="10">
        <v>4</v>
      </c>
      <c r="H237" s="14" t="s">
        <v>187</v>
      </c>
      <c r="I237" s="14">
        <v>3</v>
      </c>
      <c r="K237" s="4" t="s">
        <v>1832</v>
      </c>
      <c r="L237" s="4">
        <v>1</v>
      </c>
      <c r="M237" s="13" t="s">
        <v>46</v>
      </c>
      <c r="N237" s="10">
        <v>4</v>
      </c>
      <c r="O237" s="13" t="s">
        <v>52</v>
      </c>
      <c r="P237" s="10">
        <v>4</v>
      </c>
      <c r="Q237" s="10" t="s">
        <v>1863</v>
      </c>
      <c r="R237" s="10">
        <v>3</v>
      </c>
    </row>
    <row r="238" spans="6:18" x14ac:dyDescent="0.25">
      <c r="F238" s="10" t="s">
        <v>1170</v>
      </c>
      <c r="G238" s="10">
        <v>2</v>
      </c>
      <c r="H238" s="10" t="s">
        <v>1942</v>
      </c>
      <c r="I238" s="10">
        <v>4</v>
      </c>
      <c r="K238" s="214" t="s">
        <v>2046</v>
      </c>
      <c r="L238" s="4">
        <v>2</v>
      </c>
      <c r="M238" s="10" t="s">
        <v>758</v>
      </c>
      <c r="N238" s="10">
        <v>4</v>
      </c>
      <c r="O238" s="4" t="s">
        <v>890</v>
      </c>
      <c r="P238" s="4">
        <v>2</v>
      </c>
      <c r="Q238" s="4" t="s">
        <v>951</v>
      </c>
      <c r="R238" s="10">
        <v>1</v>
      </c>
    </row>
    <row r="239" spans="6:18" x14ac:dyDescent="0.25">
      <c r="F239" s="11" t="s">
        <v>1877</v>
      </c>
      <c r="G239" s="11">
        <v>1</v>
      </c>
      <c r="H239" s="10" t="s">
        <v>1172</v>
      </c>
      <c r="I239" s="10">
        <v>1</v>
      </c>
      <c r="K239" s="214" t="s">
        <v>2047</v>
      </c>
      <c r="L239" s="4">
        <v>4</v>
      </c>
      <c r="M239" s="13" t="s">
        <v>826</v>
      </c>
      <c r="N239" s="10">
        <v>2</v>
      </c>
      <c r="O239" s="13" t="s">
        <v>955</v>
      </c>
      <c r="P239" s="10">
        <v>1</v>
      </c>
      <c r="Q239" s="4" t="s">
        <v>714</v>
      </c>
      <c r="R239" s="10">
        <v>2</v>
      </c>
    </row>
    <row r="240" spans="6:18" x14ac:dyDescent="0.25">
      <c r="F240" s="10" t="s">
        <v>1770</v>
      </c>
      <c r="G240" s="10">
        <v>3</v>
      </c>
      <c r="H240" s="10" t="s">
        <v>181</v>
      </c>
      <c r="I240" s="10">
        <v>2</v>
      </c>
      <c r="K240" s="4" t="s">
        <v>965</v>
      </c>
      <c r="L240" s="10">
        <v>1</v>
      </c>
      <c r="M240" s="13" t="s">
        <v>827</v>
      </c>
      <c r="N240" s="10">
        <v>4</v>
      </c>
      <c r="O240" s="13" t="s">
        <v>710</v>
      </c>
      <c r="P240" s="10">
        <v>2</v>
      </c>
      <c r="Q240" s="4" t="s">
        <v>678</v>
      </c>
      <c r="R240" s="10">
        <v>3</v>
      </c>
    </row>
    <row r="241" spans="6:18" x14ac:dyDescent="0.25">
      <c r="F241" s="10" t="s">
        <v>171</v>
      </c>
      <c r="G241" s="10">
        <v>1</v>
      </c>
      <c r="H241" s="11" t="s">
        <v>1686</v>
      </c>
      <c r="I241" s="11">
        <v>3</v>
      </c>
      <c r="K241" s="4" t="s">
        <v>698</v>
      </c>
      <c r="L241" s="10">
        <v>2</v>
      </c>
      <c r="M241" s="4" t="s">
        <v>960</v>
      </c>
      <c r="N241" s="10">
        <v>1</v>
      </c>
      <c r="O241" s="13" t="s">
        <v>1817</v>
      </c>
      <c r="P241" s="10">
        <v>3</v>
      </c>
      <c r="Q241" s="4" t="s">
        <v>54</v>
      </c>
      <c r="R241" s="10">
        <v>4</v>
      </c>
    </row>
    <row r="242" spans="6:18" x14ac:dyDescent="0.25">
      <c r="F242" s="11" t="s">
        <v>1834</v>
      </c>
      <c r="G242" s="11">
        <v>1</v>
      </c>
      <c r="H242" s="10" t="s">
        <v>1016</v>
      </c>
      <c r="I242" s="10">
        <v>1</v>
      </c>
      <c r="K242" s="4" t="s">
        <v>1807</v>
      </c>
      <c r="L242" s="10">
        <v>3</v>
      </c>
      <c r="M242" s="4" t="s">
        <v>705</v>
      </c>
      <c r="N242" s="10">
        <v>2</v>
      </c>
      <c r="O242" s="13" t="s">
        <v>50</v>
      </c>
      <c r="P242" s="10">
        <v>4</v>
      </c>
      <c r="Q242" s="4" t="s">
        <v>952</v>
      </c>
      <c r="R242" s="10">
        <v>1</v>
      </c>
    </row>
    <row r="243" spans="6:18" x14ac:dyDescent="0.25">
      <c r="F243" s="10" t="s">
        <v>1943</v>
      </c>
      <c r="G243" s="10">
        <v>4</v>
      </c>
      <c r="H243" s="10" t="s">
        <v>198</v>
      </c>
      <c r="I243" s="10">
        <v>2</v>
      </c>
      <c r="K243" s="4" t="s">
        <v>40</v>
      </c>
      <c r="L243" s="10">
        <v>4</v>
      </c>
      <c r="M243" s="4" t="s">
        <v>1812</v>
      </c>
      <c r="N243" s="10">
        <v>3</v>
      </c>
      <c r="O243" s="13" t="s">
        <v>1779</v>
      </c>
      <c r="P243" s="213">
        <v>4</v>
      </c>
      <c r="Q243" s="4" t="s">
        <v>713</v>
      </c>
      <c r="R243" s="10">
        <v>2</v>
      </c>
    </row>
    <row r="244" spans="6:18" x14ac:dyDescent="0.25">
      <c r="F244" s="213" t="s">
        <v>1973</v>
      </c>
      <c r="G244" s="213">
        <v>2</v>
      </c>
      <c r="H244" s="10" t="s">
        <v>1680</v>
      </c>
      <c r="I244" s="10">
        <v>3</v>
      </c>
      <c r="K244" s="10" t="s">
        <v>1175</v>
      </c>
      <c r="L244" s="10">
        <v>1</v>
      </c>
      <c r="M244" s="4" t="s">
        <v>45</v>
      </c>
      <c r="N244" s="10">
        <v>4</v>
      </c>
      <c r="O244" s="10" t="s">
        <v>1766</v>
      </c>
      <c r="P244" s="10">
        <v>3</v>
      </c>
      <c r="Q244" s="4" t="s">
        <v>677</v>
      </c>
      <c r="R244" s="10">
        <v>3</v>
      </c>
    </row>
    <row r="245" spans="6:18" x14ac:dyDescent="0.25">
      <c r="F245" s="10" t="s">
        <v>183</v>
      </c>
      <c r="G245" s="10">
        <v>2</v>
      </c>
      <c r="H245" s="10" t="s">
        <v>32</v>
      </c>
      <c r="I245" s="10">
        <v>4</v>
      </c>
      <c r="M245" s="4" t="s">
        <v>961</v>
      </c>
      <c r="N245" s="10">
        <v>1</v>
      </c>
      <c r="O245" s="13" t="s">
        <v>956</v>
      </c>
      <c r="P245" s="10">
        <v>1</v>
      </c>
      <c r="Q245" s="4" t="s">
        <v>53</v>
      </c>
      <c r="R245" s="10">
        <v>4</v>
      </c>
    </row>
    <row r="246" spans="6:18" x14ac:dyDescent="0.25">
      <c r="F246" s="10" t="s">
        <v>1011</v>
      </c>
      <c r="G246" s="10">
        <v>1</v>
      </c>
      <c r="H246" s="10" t="s">
        <v>1015</v>
      </c>
      <c r="I246" s="10">
        <v>1</v>
      </c>
      <c r="M246" s="4" t="s">
        <v>704</v>
      </c>
      <c r="N246" s="10">
        <v>2</v>
      </c>
      <c r="O246" s="13" t="s">
        <v>709</v>
      </c>
      <c r="P246" s="10">
        <v>2</v>
      </c>
      <c r="Q246" s="13" t="s">
        <v>953</v>
      </c>
      <c r="R246" s="10">
        <v>1</v>
      </c>
    </row>
    <row r="247" spans="6:18" x14ac:dyDescent="0.25">
      <c r="F247" s="10" t="s">
        <v>203</v>
      </c>
      <c r="G247" s="10">
        <v>2</v>
      </c>
      <c r="H247" s="10" t="s">
        <v>199</v>
      </c>
      <c r="I247" s="10">
        <v>2</v>
      </c>
      <c r="M247" s="4" t="s">
        <v>1811</v>
      </c>
      <c r="N247" s="10">
        <v>3</v>
      </c>
      <c r="O247" s="13" t="s">
        <v>1816</v>
      </c>
      <c r="P247" s="10">
        <v>3</v>
      </c>
      <c r="Q247" s="13" t="s">
        <v>712</v>
      </c>
      <c r="R247" s="10">
        <v>2</v>
      </c>
    </row>
    <row r="248" spans="6:18" x14ac:dyDescent="0.25">
      <c r="F248" s="10" t="s">
        <v>204</v>
      </c>
      <c r="G248" s="10">
        <v>3</v>
      </c>
      <c r="H248" s="10" t="s">
        <v>1679</v>
      </c>
      <c r="I248" s="10">
        <v>3</v>
      </c>
      <c r="M248" s="4" t="s">
        <v>44</v>
      </c>
      <c r="N248" s="10">
        <v>4</v>
      </c>
      <c r="O248" s="13" t="s">
        <v>49</v>
      </c>
      <c r="P248" s="10">
        <v>4</v>
      </c>
      <c r="Q248" s="13" t="s">
        <v>676</v>
      </c>
      <c r="R248" s="10">
        <v>3</v>
      </c>
    </row>
    <row r="249" spans="6:18" x14ac:dyDescent="0.25">
      <c r="F249" s="10" t="s">
        <v>38</v>
      </c>
      <c r="G249" s="10">
        <v>4</v>
      </c>
      <c r="H249" s="10" t="s">
        <v>33</v>
      </c>
      <c r="I249" s="10">
        <v>4</v>
      </c>
      <c r="M249" s="13" t="s">
        <v>962</v>
      </c>
      <c r="N249" s="10">
        <v>1</v>
      </c>
      <c r="O249" s="13" t="s">
        <v>957</v>
      </c>
      <c r="P249" s="10">
        <v>1</v>
      </c>
      <c r="Q249" s="13" t="s">
        <v>52</v>
      </c>
      <c r="R249" s="10">
        <v>4</v>
      </c>
    </row>
    <row r="250" spans="6:18" x14ac:dyDescent="0.25">
      <c r="H250" s="10" t="s">
        <v>188</v>
      </c>
      <c r="I250" s="10">
        <v>3</v>
      </c>
      <c r="M250" s="13" t="s">
        <v>701</v>
      </c>
      <c r="N250" s="10">
        <v>2</v>
      </c>
      <c r="O250" s="13" t="s">
        <v>708</v>
      </c>
      <c r="P250" s="10">
        <v>2</v>
      </c>
      <c r="Q250" s="19" t="s">
        <v>954</v>
      </c>
      <c r="R250" s="14">
        <v>1</v>
      </c>
    </row>
    <row r="251" spans="6:18" x14ac:dyDescent="0.25">
      <c r="H251" s="14" t="s">
        <v>1014</v>
      </c>
      <c r="I251" s="14">
        <v>1</v>
      </c>
      <c r="M251" s="13" t="s">
        <v>1810</v>
      </c>
      <c r="N251" s="10">
        <v>3</v>
      </c>
      <c r="O251" s="13" t="s">
        <v>1815</v>
      </c>
      <c r="P251" s="10">
        <v>3</v>
      </c>
      <c r="Q251" s="19" t="s">
        <v>711</v>
      </c>
      <c r="R251" s="14">
        <v>2</v>
      </c>
    </row>
    <row r="252" spans="6:18" x14ac:dyDescent="0.25">
      <c r="H252" s="14" t="s">
        <v>200</v>
      </c>
      <c r="I252" s="14">
        <v>2</v>
      </c>
      <c r="M252" s="13" t="s">
        <v>43</v>
      </c>
      <c r="N252" s="10">
        <v>4</v>
      </c>
      <c r="O252" s="13" t="s">
        <v>48</v>
      </c>
      <c r="P252" s="10">
        <v>4</v>
      </c>
      <c r="Q252" s="19" t="s">
        <v>675</v>
      </c>
      <c r="R252" s="14">
        <v>3</v>
      </c>
    </row>
    <row r="253" spans="6:18" x14ac:dyDescent="0.25">
      <c r="H253" s="14" t="s">
        <v>34</v>
      </c>
      <c r="I253" s="14">
        <v>3</v>
      </c>
      <c r="M253" s="13" t="s">
        <v>963</v>
      </c>
      <c r="N253" s="10">
        <v>1</v>
      </c>
      <c r="O253" s="10" t="s">
        <v>1781</v>
      </c>
      <c r="P253" s="10">
        <v>4</v>
      </c>
      <c r="Q253" s="19" t="s">
        <v>51</v>
      </c>
      <c r="R253" s="14">
        <v>4</v>
      </c>
    </row>
    <row r="254" spans="6:18" x14ac:dyDescent="0.25">
      <c r="H254" s="14" t="s">
        <v>35</v>
      </c>
      <c r="I254" s="14">
        <v>4</v>
      </c>
      <c r="M254" s="13" t="s">
        <v>700</v>
      </c>
      <c r="N254" s="10">
        <v>2</v>
      </c>
      <c r="O254" s="13" t="s">
        <v>958</v>
      </c>
      <c r="P254" s="10">
        <v>1</v>
      </c>
      <c r="Q254" s="4" t="s">
        <v>890</v>
      </c>
      <c r="R254" s="4">
        <v>2</v>
      </c>
    </row>
    <row r="255" spans="6:18" x14ac:dyDescent="0.25">
      <c r="H255" s="11" t="s">
        <v>1546</v>
      </c>
      <c r="I255" s="10">
        <v>1</v>
      </c>
      <c r="M255" s="13" t="s">
        <v>1809</v>
      </c>
      <c r="N255" s="10">
        <v>3</v>
      </c>
      <c r="O255" s="13" t="s">
        <v>707</v>
      </c>
      <c r="P255" s="10">
        <v>2</v>
      </c>
      <c r="Q255" s="14" t="s">
        <v>1183</v>
      </c>
      <c r="R255" s="14">
        <v>1</v>
      </c>
    </row>
    <row r="256" spans="6:18" x14ac:dyDescent="0.25">
      <c r="H256" s="11" t="s">
        <v>1547</v>
      </c>
      <c r="I256" s="10">
        <v>2</v>
      </c>
      <c r="M256" s="13" t="s">
        <v>42</v>
      </c>
      <c r="N256" s="10">
        <v>4</v>
      </c>
      <c r="O256" s="13" t="s">
        <v>1814</v>
      </c>
      <c r="P256" s="10">
        <v>3</v>
      </c>
      <c r="Q256" s="13" t="s">
        <v>955</v>
      </c>
      <c r="R256" s="10">
        <v>1</v>
      </c>
    </row>
    <row r="257" spans="8:18" x14ac:dyDescent="0.25">
      <c r="H257" s="57" t="s">
        <v>1605</v>
      </c>
      <c r="I257" s="57">
        <v>4</v>
      </c>
      <c r="M257" s="14" t="s">
        <v>292</v>
      </c>
      <c r="N257" s="14">
        <v>2</v>
      </c>
      <c r="O257" s="13" t="s">
        <v>47</v>
      </c>
      <c r="P257" s="10">
        <v>4</v>
      </c>
      <c r="Q257" s="13" t="s">
        <v>710</v>
      </c>
      <c r="R257" s="10">
        <v>2</v>
      </c>
    </row>
    <row r="258" spans="8:18" x14ac:dyDescent="0.25">
      <c r="H258" s="10" t="s">
        <v>182</v>
      </c>
      <c r="I258" s="10">
        <v>2</v>
      </c>
      <c r="M258" s="14" t="s">
        <v>293</v>
      </c>
      <c r="N258" s="14">
        <v>2</v>
      </c>
      <c r="O258" s="10" t="s">
        <v>1676</v>
      </c>
      <c r="P258" s="10">
        <v>4</v>
      </c>
      <c r="Q258" s="13" t="s">
        <v>1817</v>
      </c>
      <c r="R258" s="10">
        <v>3</v>
      </c>
    </row>
    <row r="259" spans="8:18" x14ac:dyDescent="0.25">
      <c r="H259" s="15" t="s">
        <v>1608</v>
      </c>
      <c r="I259" s="15">
        <v>4</v>
      </c>
      <c r="M259" s="14" t="s">
        <v>291</v>
      </c>
      <c r="N259" s="14">
        <v>4</v>
      </c>
      <c r="O259" s="213" t="s">
        <v>1976</v>
      </c>
      <c r="P259" s="10">
        <v>1</v>
      </c>
      <c r="Q259" s="13" t="s">
        <v>50</v>
      </c>
      <c r="R259" s="10">
        <v>4</v>
      </c>
    </row>
    <row r="260" spans="8:18" x14ac:dyDescent="0.25">
      <c r="H260" s="10" t="s">
        <v>1774</v>
      </c>
      <c r="I260" s="10">
        <v>3</v>
      </c>
      <c r="M260" s="10" t="s">
        <v>1769</v>
      </c>
      <c r="N260" s="10">
        <v>3</v>
      </c>
      <c r="O260" s="213" t="s">
        <v>1977</v>
      </c>
      <c r="P260" s="10">
        <v>2</v>
      </c>
      <c r="Q260" s="10" t="s">
        <v>1779</v>
      </c>
      <c r="R260" s="10">
        <v>4</v>
      </c>
    </row>
    <row r="261" spans="8:18" x14ac:dyDescent="0.25">
      <c r="H261" s="10" t="s">
        <v>1013</v>
      </c>
      <c r="I261" s="10">
        <v>1</v>
      </c>
      <c r="M261" s="4" t="s">
        <v>1832</v>
      </c>
      <c r="N261" s="4">
        <v>1</v>
      </c>
      <c r="O261" s="213" t="s">
        <v>1978</v>
      </c>
      <c r="P261" s="10">
        <v>3</v>
      </c>
      <c r="Q261" s="10" t="s">
        <v>1766</v>
      </c>
      <c r="R261" s="10">
        <v>3</v>
      </c>
    </row>
    <row r="262" spans="8:18" x14ac:dyDescent="0.25">
      <c r="H262" s="10" t="s">
        <v>201</v>
      </c>
      <c r="I262" s="10">
        <v>2</v>
      </c>
      <c r="M262" s="10" t="s">
        <v>1187</v>
      </c>
      <c r="N262" s="10">
        <v>2</v>
      </c>
      <c r="O262" s="213" t="s">
        <v>1979</v>
      </c>
      <c r="P262" s="10">
        <v>4</v>
      </c>
      <c r="Q262" s="13" t="s">
        <v>956</v>
      </c>
      <c r="R262" s="10">
        <v>1</v>
      </c>
    </row>
    <row r="263" spans="8:18" x14ac:dyDescent="0.25">
      <c r="H263" s="10" t="s">
        <v>206</v>
      </c>
      <c r="I263" s="10">
        <v>3</v>
      </c>
      <c r="M263" s="10" t="s">
        <v>1771</v>
      </c>
      <c r="N263" s="10">
        <v>3</v>
      </c>
      <c r="O263" s="13" t="s">
        <v>959</v>
      </c>
      <c r="P263" s="10">
        <v>1</v>
      </c>
      <c r="Q263" s="13" t="s">
        <v>709</v>
      </c>
      <c r="R263" s="10">
        <v>2</v>
      </c>
    </row>
    <row r="264" spans="8:18" x14ac:dyDescent="0.25">
      <c r="H264" s="10" t="s">
        <v>36</v>
      </c>
      <c r="I264" s="10">
        <v>4</v>
      </c>
      <c r="M264" s="214" t="s">
        <v>2046</v>
      </c>
      <c r="N264" s="4">
        <v>2</v>
      </c>
      <c r="O264" s="13" t="s">
        <v>706</v>
      </c>
      <c r="P264" s="10">
        <v>2</v>
      </c>
      <c r="Q264" s="13" t="s">
        <v>1816</v>
      </c>
      <c r="R264" s="10">
        <v>3</v>
      </c>
    </row>
    <row r="265" spans="8:18" x14ac:dyDescent="0.25">
      <c r="H265" s="10" t="s">
        <v>1170</v>
      </c>
      <c r="I265" s="10">
        <v>2</v>
      </c>
      <c r="M265" s="214" t="s">
        <v>2047</v>
      </c>
      <c r="N265" s="4">
        <v>4</v>
      </c>
      <c r="O265" s="13" t="s">
        <v>1813</v>
      </c>
      <c r="P265" s="10">
        <v>3</v>
      </c>
      <c r="Q265" s="13" t="s">
        <v>49</v>
      </c>
      <c r="R265" s="10">
        <v>4</v>
      </c>
    </row>
    <row r="266" spans="8:18" x14ac:dyDescent="0.25">
      <c r="H266" s="14" t="s">
        <v>1856</v>
      </c>
      <c r="I266" s="14">
        <v>3</v>
      </c>
      <c r="M266" s="13" t="s">
        <v>964</v>
      </c>
      <c r="N266" s="10">
        <v>2</v>
      </c>
      <c r="O266" s="13" t="s">
        <v>46</v>
      </c>
      <c r="P266" s="10">
        <v>4</v>
      </c>
      <c r="Q266" s="13" t="s">
        <v>957</v>
      </c>
      <c r="R266" s="10">
        <v>1</v>
      </c>
    </row>
    <row r="267" spans="8:18" x14ac:dyDescent="0.25">
      <c r="H267" s="11" t="s">
        <v>1877</v>
      </c>
      <c r="I267" s="11">
        <v>1</v>
      </c>
      <c r="M267" s="13" t="s">
        <v>699</v>
      </c>
      <c r="N267" s="10">
        <v>2</v>
      </c>
      <c r="O267" s="10" t="s">
        <v>758</v>
      </c>
      <c r="P267" s="10">
        <v>4</v>
      </c>
      <c r="Q267" s="13" t="s">
        <v>708</v>
      </c>
      <c r="R267" s="10">
        <v>2</v>
      </c>
    </row>
    <row r="268" spans="8:18" x14ac:dyDescent="0.25">
      <c r="H268" s="14" t="s">
        <v>1770</v>
      </c>
      <c r="I268" s="14">
        <v>3</v>
      </c>
      <c r="M268" s="13" t="s">
        <v>1808</v>
      </c>
      <c r="N268" s="10">
        <v>3</v>
      </c>
      <c r="O268" s="13" t="s">
        <v>826</v>
      </c>
      <c r="P268" s="10">
        <v>2</v>
      </c>
      <c r="Q268" s="13" t="s">
        <v>1815</v>
      </c>
      <c r="R268" s="10">
        <v>3</v>
      </c>
    </row>
    <row r="269" spans="8:18" x14ac:dyDescent="0.25">
      <c r="H269" s="10" t="s">
        <v>171</v>
      </c>
      <c r="I269" s="10">
        <v>1</v>
      </c>
      <c r="M269" s="13" t="s">
        <v>41</v>
      </c>
      <c r="N269" s="10">
        <v>4</v>
      </c>
      <c r="O269" s="13" t="s">
        <v>827</v>
      </c>
      <c r="P269" s="10">
        <v>4</v>
      </c>
      <c r="Q269" s="13" t="s">
        <v>48</v>
      </c>
      <c r="R269" s="10">
        <v>4</v>
      </c>
    </row>
    <row r="270" spans="8:18" x14ac:dyDescent="0.25">
      <c r="H270" s="11" t="s">
        <v>1834</v>
      </c>
      <c r="I270" s="11">
        <v>1</v>
      </c>
      <c r="M270" s="10" t="s">
        <v>1772</v>
      </c>
      <c r="N270" s="10">
        <v>3</v>
      </c>
      <c r="O270" s="10" t="s">
        <v>1768</v>
      </c>
      <c r="P270" s="10">
        <v>2</v>
      </c>
      <c r="Q270" s="10" t="s">
        <v>1781</v>
      </c>
      <c r="R270" s="10">
        <v>4</v>
      </c>
    </row>
    <row r="271" spans="8:18" x14ac:dyDescent="0.25">
      <c r="H271" s="55" t="s">
        <v>1943</v>
      </c>
      <c r="I271" s="55">
        <v>4</v>
      </c>
      <c r="M271" s="4" t="s">
        <v>965</v>
      </c>
      <c r="N271" s="10">
        <v>1</v>
      </c>
      <c r="O271" s="4" t="s">
        <v>960</v>
      </c>
      <c r="P271" s="10">
        <v>1</v>
      </c>
      <c r="Q271" s="10" t="s">
        <v>1185</v>
      </c>
      <c r="R271" s="10">
        <v>2</v>
      </c>
    </row>
    <row r="272" spans="8:18" x14ac:dyDescent="0.25">
      <c r="H272" s="14" t="s">
        <v>1012</v>
      </c>
      <c r="I272" s="14">
        <v>1</v>
      </c>
      <c r="M272" s="4" t="s">
        <v>698</v>
      </c>
      <c r="N272" s="10">
        <v>2</v>
      </c>
      <c r="O272" s="4" t="s">
        <v>705</v>
      </c>
      <c r="P272" s="10">
        <v>2</v>
      </c>
      <c r="Q272" s="13" t="s">
        <v>958</v>
      </c>
      <c r="R272" s="10">
        <v>1</v>
      </c>
    </row>
    <row r="273" spans="8:18" x14ac:dyDescent="0.25">
      <c r="H273" s="14" t="s">
        <v>202</v>
      </c>
      <c r="I273" s="14">
        <v>2</v>
      </c>
      <c r="M273" s="4" t="s">
        <v>1807</v>
      </c>
      <c r="N273" s="10">
        <v>3</v>
      </c>
      <c r="O273" s="4" t="s">
        <v>1812</v>
      </c>
      <c r="P273" s="10">
        <v>3</v>
      </c>
      <c r="Q273" s="13" t="s">
        <v>707</v>
      </c>
      <c r="R273" s="10">
        <v>2</v>
      </c>
    </row>
    <row r="274" spans="8:18" x14ac:dyDescent="0.25">
      <c r="H274" s="14" t="s">
        <v>205</v>
      </c>
      <c r="I274" s="14">
        <v>3</v>
      </c>
      <c r="M274" s="4" t="s">
        <v>40</v>
      </c>
      <c r="N274" s="10">
        <v>4</v>
      </c>
      <c r="O274" s="4" t="s">
        <v>45</v>
      </c>
      <c r="P274" s="10">
        <v>4</v>
      </c>
      <c r="Q274" s="13" t="s">
        <v>1814</v>
      </c>
      <c r="R274" s="10">
        <v>3</v>
      </c>
    </row>
    <row r="275" spans="8:18" x14ac:dyDescent="0.25">
      <c r="H275" s="14" t="s">
        <v>37</v>
      </c>
      <c r="I275" s="14">
        <v>4</v>
      </c>
      <c r="M275" s="10" t="s">
        <v>1773</v>
      </c>
      <c r="N275" s="10">
        <v>3</v>
      </c>
      <c r="O275" s="4" t="s">
        <v>961</v>
      </c>
      <c r="P275" s="10">
        <v>1</v>
      </c>
      <c r="Q275" s="13" t="s">
        <v>47</v>
      </c>
      <c r="R275" s="10">
        <v>4</v>
      </c>
    </row>
    <row r="276" spans="8:18" x14ac:dyDescent="0.25">
      <c r="H276" s="213" t="s">
        <v>1973</v>
      </c>
      <c r="I276" s="213">
        <v>2</v>
      </c>
      <c r="M276" s="10" t="s">
        <v>1175</v>
      </c>
      <c r="N276" s="10">
        <v>1</v>
      </c>
      <c r="O276" s="4" t="s">
        <v>704</v>
      </c>
      <c r="P276" s="10">
        <v>2</v>
      </c>
      <c r="Q276" s="10" t="s">
        <v>1676</v>
      </c>
      <c r="R276" s="10">
        <v>4</v>
      </c>
    </row>
    <row r="277" spans="8:18" x14ac:dyDescent="0.25">
      <c r="H277" s="14" t="s">
        <v>183</v>
      </c>
      <c r="I277" s="14">
        <v>2</v>
      </c>
      <c r="M277" s="10" t="s">
        <v>1188</v>
      </c>
      <c r="N277" s="10">
        <v>2</v>
      </c>
      <c r="O277" s="4" t="s">
        <v>1811</v>
      </c>
      <c r="P277" s="10">
        <v>3</v>
      </c>
      <c r="Q277" s="213" t="s">
        <v>1976</v>
      </c>
      <c r="R277" s="10">
        <v>1</v>
      </c>
    </row>
    <row r="278" spans="8:18" x14ac:dyDescent="0.25">
      <c r="H278" s="14" t="s">
        <v>1011</v>
      </c>
      <c r="I278" s="14">
        <v>1</v>
      </c>
      <c r="O278" s="4" t="s">
        <v>44</v>
      </c>
      <c r="P278" s="10">
        <v>4</v>
      </c>
      <c r="Q278" s="213" t="s">
        <v>1977</v>
      </c>
      <c r="R278" s="10">
        <v>2</v>
      </c>
    </row>
    <row r="279" spans="8:18" x14ac:dyDescent="0.25">
      <c r="H279" s="14" t="s">
        <v>203</v>
      </c>
      <c r="I279" s="14">
        <v>2</v>
      </c>
      <c r="O279" s="13" t="s">
        <v>962</v>
      </c>
      <c r="P279" s="10">
        <v>1</v>
      </c>
      <c r="Q279" s="213" t="s">
        <v>1978</v>
      </c>
      <c r="R279" s="10">
        <v>3</v>
      </c>
    </row>
    <row r="280" spans="8:18" x14ac:dyDescent="0.25">
      <c r="H280" s="14" t="s">
        <v>204</v>
      </c>
      <c r="I280" s="14">
        <v>3</v>
      </c>
      <c r="O280" s="13" t="s">
        <v>701</v>
      </c>
      <c r="P280" s="10">
        <v>2</v>
      </c>
      <c r="Q280" s="213" t="s">
        <v>1979</v>
      </c>
      <c r="R280" s="10">
        <v>4</v>
      </c>
    </row>
    <row r="281" spans="8:18" x14ac:dyDescent="0.25">
      <c r="H281" s="14" t="s">
        <v>38</v>
      </c>
      <c r="I281" s="14">
        <v>4</v>
      </c>
      <c r="O281" s="13" t="s">
        <v>1810</v>
      </c>
      <c r="P281" s="10">
        <v>3</v>
      </c>
      <c r="Q281" s="10" t="s">
        <v>1507</v>
      </c>
      <c r="R281" s="10">
        <v>1</v>
      </c>
    </row>
    <row r="282" spans="8:18" x14ac:dyDescent="0.25">
      <c r="O282" s="13" t="s">
        <v>43</v>
      </c>
      <c r="P282" s="10">
        <v>4</v>
      </c>
      <c r="Q282" s="10" t="s">
        <v>1508</v>
      </c>
      <c r="R282" s="10">
        <v>2</v>
      </c>
    </row>
    <row r="283" spans="8:18" x14ac:dyDescent="0.25">
      <c r="O283" s="13" t="s">
        <v>963</v>
      </c>
      <c r="P283" s="10">
        <v>1</v>
      </c>
      <c r="Q283" s="10" t="s">
        <v>1509</v>
      </c>
      <c r="R283" s="10">
        <v>3</v>
      </c>
    </row>
    <row r="284" spans="8:18" x14ac:dyDescent="0.25">
      <c r="O284" s="13" t="s">
        <v>700</v>
      </c>
      <c r="P284" s="10">
        <v>2</v>
      </c>
      <c r="Q284" s="10" t="s">
        <v>1510</v>
      </c>
      <c r="R284" s="10">
        <v>4</v>
      </c>
    </row>
    <row r="285" spans="8:18" x14ac:dyDescent="0.25">
      <c r="O285" s="13" t="s">
        <v>1809</v>
      </c>
      <c r="P285" s="10">
        <v>3</v>
      </c>
      <c r="Q285" s="13" t="s">
        <v>959</v>
      </c>
      <c r="R285" s="10">
        <v>1</v>
      </c>
    </row>
    <row r="286" spans="8:18" x14ac:dyDescent="0.25">
      <c r="O286" s="13" t="s">
        <v>42</v>
      </c>
      <c r="P286" s="10">
        <v>4</v>
      </c>
      <c r="Q286" s="13" t="s">
        <v>706</v>
      </c>
      <c r="R286" s="10">
        <v>2</v>
      </c>
    </row>
    <row r="287" spans="8:18" x14ac:dyDescent="0.25">
      <c r="O287" s="14" t="s">
        <v>292</v>
      </c>
      <c r="P287" s="14">
        <v>2</v>
      </c>
      <c r="Q287" s="13" t="s">
        <v>1813</v>
      </c>
      <c r="R287" s="10">
        <v>3</v>
      </c>
    </row>
    <row r="288" spans="8:18" x14ac:dyDescent="0.25">
      <c r="O288" s="14" t="s">
        <v>293</v>
      </c>
      <c r="P288" s="14">
        <v>2</v>
      </c>
      <c r="Q288" s="13" t="s">
        <v>46</v>
      </c>
      <c r="R288" s="10">
        <v>4</v>
      </c>
    </row>
    <row r="289" spans="15:18" x14ac:dyDescent="0.25">
      <c r="O289" s="14" t="s">
        <v>291</v>
      </c>
      <c r="P289" s="14">
        <v>4</v>
      </c>
      <c r="Q289" s="10" t="s">
        <v>758</v>
      </c>
      <c r="R289" s="10">
        <v>4</v>
      </c>
    </row>
    <row r="290" spans="15:18" x14ac:dyDescent="0.25">
      <c r="O290" s="10" t="s">
        <v>1769</v>
      </c>
      <c r="P290" s="10">
        <v>3</v>
      </c>
      <c r="Q290" s="13" t="s">
        <v>826</v>
      </c>
      <c r="R290" s="10">
        <v>2</v>
      </c>
    </row>
    <row r="291" spans="15:18" x14ac:dyDescent="0.25">
      <c r="O291" s="4" t="s">
        <v>1832</v>
      </c>
      <c r="P291" s="4">
        <v>1</v>
      </c>
      <c r="Q291" s="13" t="s">
        <v>827</v>
      </c>
      <c r="R291" s="10">
        <v>4</v>
      </c>
    </row>
    <row r="292" spans="15:18" x14ac:dyDescent="0.25">
      <c r="O292" s="10" t="s">
        <v>1765</v>
      </c>
      <c r="P292" s="10">
        <v>4</v>
      </c>
      <c r="Q292" s="10" t="s">
        <v>1768</v>
      </c>
      <c r="R292" s="10">
        <v>2</v>
      </c>
    </row>
    <row r="293" spans="15:18" x14ac:dyDescent="0.25">
      <c r="O293" s="10" t="s">
        <v>1187</v>
      </c>
      <c r="P293" s="10">
        <v>2</v>
      </c>
      <c r="Q293" s="4" t="s">
        <v>960</v>
      </c>
      <c r="R293" s="10">
        <v>1</v>
      </c>
    </row>
    <row r="294" spans="15:18" x14ac:dyDescent="0.25">
      <c r="O294" s="10" t="s">
        <v>1771</v>
      </c>
      <c r="P294" s="10">
        <v>3</v>
      </c>
      <c r="Q294" s="4" t="s">
        <v>705</v>
      </c>
      <c r="R294" s="10">
        <v>2</v>
      </c>
    </row>
    <row r="295" spans="15:18" x14ac:dyDescent="0.25">
      <c r="O295" s="214" t="s">
        <v>2046</v>
      </c>
      <c r="P295" s="4">
        <v>2</v>
      </c>
      <c r="Q295" s="4" t="s">
        <v>1812</v>
      </c>
      <c r="R295" s="10">
        <v>3</v>
      </c>
    </row>
    <row r="296" spans="15:18" x14ac:dyDescent="0.25">
      <c r="O296" s="214" t="s">
        <v>2047</v>
      </c>
      <c r="P296" s="4">
        <v>4</v>
      </c>
      <c r="Q296" s="4" t="s">
        <v>45</v>
      </c>
      <c r="R296" s="10">
        <v>4</v>
      </c>
    </row>
    <row r="297" spans="15:18" x14ac:dyDescent="0.25">
      <c r="O297" s="13" t="s">
        <v>964</v>
      </c>
      <c r="P297" s="10">
        <v>1</v>
      </c>
      <c r="Q297" s="4" t="s">
        <v>961</v>
      </c>
      <c r="R297" s="10">
        <v>1</v>
      </c>
    </row>
    <row r="298" spans="15:18" x14ac:dyDescent="0.25">
      <c r="O298" s="13" t="s">
        <v>699</v>
      </c>
      <c r="P298" s="10">
        <v>2</v>
      </c>
      <c r="Q298" s="4" t="s">
        <v>704</v>
      </c>
      <c r="R298" s="10">
        <v>2</v>
      </c>
    </row>
    <row r="299" spans="15:18" x14ac:dyDescent="0.25">
      <c r="O299" s="13" t="s">
        <v>1808</v>
      </c>
      <c r="P299" s="10">
        <v>3</v>
      </c>
      <c r="Q299" s="4" t="s">
        <v>1811</v>
      </c>
      <c r="R299" s="10">
        <v>3</v>
      </c>
    </row>
    <row r="300" spans="15:18" x14ac:dyDescent="0.25">
      <c r="O300" s="13" t="s">
        <v>41</v>
      </c>
      <c r="P300" s="10">
        <v>4</v>
      </c>
      <c r="Q300" s="4" t="s">
        <v>44</v>
      </c>
      <c r="R300" s="10">
        <v>4</v>
      </c>
    </row>
    <row r="301" spans="15:18" x14ac:dyDescent="0.25">
      <c r="O301" s="10" t="s">
        <v>56</v>
      </c>
      <c r="P301" s="10">
        <v>4</v>
      </c>
      <c r="Q301" s="13" t="s">
        <v>962</v>
      </c>
      <c r="R301" s="10">
        <v>1</v>
      </c>
    </row>
    <row r="302" spans="15:18" x14ac:dyDescent="0.25">
      <c r="O302" s="10" t="s">
        <v>1772</v>
      </c>
      <c r="P302" s="10">
        <v>3</v>
      </c>
      <c r="Q302" s="13" t="s">
        <v>701</v>
      </c>
      <c r="R302" s="10">
        <v>2</v>
      </c>
    </row>
    <row r="303" spans="15:18" x14ac:dyDescent="0.25">
      <c r="O303" s="4" t="s">
        <v>965</v>
      </c>
      <c r="P303" s="10">
        <v>1</v>
      </c>
      <c r="Q303" s="13" t="s">
        <v>1810</v>
      </c>
      <c r="R303" s="10">
        <v>3</v>
      </c>
    </row>
    <row r="304" spans="15:18" x14ac:dyDescent="0.25">
      <c r="O304" s="4" t="s">
        <v>698</v>
      </c>
      <c r="P304" s="10">
        <v>2</v>
      </c>
      <c r="Q304" s="13" t="s">
        <v>43</v>
      </c>
      <c r="R304" s="10">
        <v>4</v>
      </c>
    </row>
    <row r="305" spans="15:18" x14ac:dyDescent="0.25">
      <c r="O305" s="4" t="s">
        <v>1807</v>
      </c>
      <c r="P305" s="10">
        <v>3</v>
      </c>
      <c r="Q305" s="13" t="s">
        <v>963</v>
      </c>
      <c r="R305" s="10">
        <v>1</v>
      </c>
    </row>
    <row r="306" spans="15:18" x14ac:dyDescent="0.25">
      <c r="O306" s="4" t="s">
        <v>40</v>
      </c>
      <c r="P306" s="10">
        <v>4</v>
      </c>
      <c r="Q306" s="13" t="s">
        <v>700</v>
      </c>
      <c r="R306" s="10">
        <v>2</v>
      </c>
    </row>
    <row r="307" spans="15:18" x14ac:dyDescent="0.25">
      <c r="O307" s="10" t="s">
        <v>1773</v>
      </c>
      <c r="P307" s="10">
        <v>3</v>
      </c>
      <c r="Q307" s="13" t="s">
        <v>1809</v>
      </c>
      <c r="R307" s="10">
        <v>3</v>
      </c>
    </row>
    <row r="308" spans="15:18" x14ac:dyDescent="0.25">
      <c r="O308" s="10" t="s">
        <v>1175</v>
      </c>
      <c r="P308" s="10">
        <v>1</v>
      </c>
      <c r="Q308" s="13" t="s">
        <v>42</v>
      </c>
      <c r="R308" s="10">
        <v>4</v>
      </c>
    </row>
    <row r="309" spans="15:18" x14ac:dyDescent="0.25">
      <c r="O309" s="10" t="s">
        <v>1188</v>
      </c>
      <c r="P309" s="10">
        <v>2</v>
      </c>
      <c r="Q309" s="14" t="s">
        <v>292</v>
      </c>
      <c r="R309" s="14">
        <v>2</v>
      </c>
    </row>
    <row r="310" spans="15:18" x14ac:dyDescent="0.25">
      <c r="Q310" s="14" t="s">
        <v>293</v>
      </c>
      <c r="R310" s="14">
        <v>2</v>
      </c>
    </row>
    <row r="311" spans="15:18" x14ac:dyDescent="0.25">
      <c r="Q311" s="14" t="s">
        <v>291</v>
      </c>
      <c r="R311" s="14">
        <v>4</v>
      </c>
    </row>
    <row r="312" spans="15:18" x14ac:dyDescent="0.25">
      <c r="Q312" s="14" t="s">
        <v>1769</v>
      </c>
      <c r="R312" s="14">
        <v>3</v>
      </c>
    </row>
    <row r="313" spans="15:18" x14ac:dyDescent="0.25">
      <c r="Q313" s="56" t="s">
        <v>1832</v>
      </c>
      <c r="R313" s="56">
        <v>1</v>
      </c>
    </row>
    <row r="314" spans="15:18" x14ac:dyDescent="0.25">
      <c r="Q314" s="10" t="s">
        <v>1765</v>
      </c>
      <c r="R314" s="10">
        <v>4</v>
      </c>
    </row>
    <row r="315" spans="15:18" x14ac:dyDescent="0.25">
      <c r="Q315" s="10" t="s">
        <v>1187</v>
      </c>
      <c r="R315" s="10">
        <v>2</v>
      </c>
    </row>
    <row r="316" spans="15:18" x14ac:dyDescent="0.25">
      <c r="Q316" s="10" t="s">
        <v>1771</v>
      </c>
      <c r="R316" s="10">
        <v>3</v>
      </c>
    </row>
    <row r="317" spans="15:18" x14ac:dyDescent="0.25">
      <c r="Q317" s="214" t="s">
        <v>2046</v>
      </c>
      <c r="R317" s="4">
        <v>2</v>
      </c>
    </row>
    <row r="318" spans="15:18" x14ac:dyDescent="0.25">
      <c r="Q318" s="214" t="s">
        <v>2047</v>
      </c>
      <c r="R318" s="10">
        <v>4</v>
      </c>
    </row>
    <row r="319" spans="15:18" x14ac:dyDescent="0.25">
      <c r="Q319" s="13" t="s">
        <v>964</v>
      </c>
      <c r="R319" s="10">
        <v>1</v>
      </c>
    </row>
    <row r="320" spans="15:18" x14ac:dyDescent="0.25">
      <c r="Q320" s="13" t="s">
        <v>699</v>
      </c>
      <c r="R320" s="10">
        <v>2</v>
      </c>
    </row>
    <row r="321" spans="17:18" x14ac:dyDescent="0.25">
      <c r="Q321" s="13" t="s">
        <v>1808</v>
      </c>
      <c r="R321" s="10">
        <v>3</v>
      </c>
    </row>
    <row r="322" spans="17:18" x14ac:dyDescent="0.25">
      <c r="Q322" s="13" t="s">
        <v>41</v>
      </c>
      <c r="R322" s="10">
        <v>4</v>
      </c>
    </row>
    <row r="323" spans="17:18" x14ac:dyDescent="0.25">
      <c r="Q323" s="14" t="s">
        <v>56</v>
      </c>
      <c r="R323" s="14">
        <v>4</v>
      </c>
    </row>
    <row r="324" spans="17:18" x14ac:dyDescent="0.25">
      <c r="Q324" s="10" t="s">
        <v>1772</v>
      </c>
      <c r="R324" s="10">
        <v>3</v>
      </c>
    </row>
    <row r="325" spans="17:18" x14ac:dyDescent="0.25">
      <c r="Q325" s="4" t="s">
        <v>965</v>
      </c>
      <c r="R325" s="10">
        <v>1</v>
      </c>
    </row>
    <row r="326" spans="17:18" x14ac:dyDescent="0.25">
      <c r="Q326" s="4" t="s">
        <v>698</v>
      </c>
      <c r="R326" s="10">
        <v>2</v>
      </c>
    </row>
    <row r="327" spans="17:18" x14ac:dyDescent="0.25">
      <c r="Q327" s="4" t="s">
        <v>1807</v>
      </c>
      <c r="R327" s="10">
        <v>3</v>
      </c>
    </row>
    <row r="328" spans="17:18" x14ac:dyDescent="0.25">
      <c r="Q328" s="4" t="s">
        <v>40</v>
      </c>
      <c r="R328" s="10">
        <v>4</v>
      </c>
    </row>
    <row r="329" spans="17:18" x14ac:dyDescent="0.25">
      <c r="Q329" s="10" t="s">
        <v>1773</v>
      </c>
      <c r="R329" s="10">
        <v>3</v>
      </c>
    </row>
    <row r="330" spans="17:18" x14ac:dyDescent="0.25">
      <c r="Q330" s="10" t="s">
        <v>1175</v>
      </c>
      <c r="R330" s="10">
        <v>1</v>
      </c>
    </row>
    <row r="331" spans="17:18" x14ac:dyDescent="0.25">
      <c r="Q331" s="10" t="s">
        <v>1188</v>
      </c>
      <c r="R331" s="10">
        <v>2</v>
      </c>
    </row>
    <row r="332" spans="17:18" x14ac:dyDescent="0.25">
      <c r="Q332" s="10"/>
      <c r="R332" s="10"/>
    </row>
  </sheetData>
  <phoneticPr fontId="6"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16"/>
  </sheetPr>
  <dimension ref="A1:AJ193"/>
  <sheetViews>
    <sheetView view="pageLayout" zoomScaleNormal="85" workbookViewId="0">
      <selection activeCell="AC105" sqref="AC105"/>
    </sheetView>
  </sheetViews>
  <sheetFormatPr defaultColWidth="3.42578125" defaultRowHeight="17.100000000000001" customHeight="1" x14ac:dyDescent="0.25"/>
  <cols>
    <col min="1" max="34" width="3.42578125" customWidth="1"/>
    <col min="35" max="36" width="3.42578125" hidden="1" customWidth="1"/>
  </cols>
  <sheetData>
    <row r="1" spans="1:36" ht="17.100000000000001" customHeight="1" x14ac:dyDescent="0.25">
      <c r="A1" s="33"/>
      <c r="B1" s="33"/>
      <c r="C1" s="33"/>
      <c r="D1" s="33"/>
      <c r="E1" s="33"/>
      <c r="F1" s="33"/>
      <c r="G1" s="33"/>
      <c r="H1" s="33"/>
      <c r="I1" s="33"/>
      <c r="J1" s="33"/>
      <c r="K1" s="33"/>
      <c r="L1" s="33"/>
      <c r="M1" s="33"/>
      <c r="N1" s="33"/>
      <c r="O1" s="33"/>
      <c r="P1" s="33"/>
      <c r="Q1" s="33"/>
      <c r="R1" s="33"/>
      <c r="S1" s="33"/>
      <c r="T1" s="33"/>
      <c r="U1" s="33"/>
      <c r="V1" s="33"/>
      <c r="W1" s="33"/>
      <c r="X1" s="33"/>
      <c r="Y1" s="33"/>
      <c r="Z1" s="33"/>
      <c r="AA1" s="33"/>
      <c r="AB1" s="33"/>
      <c r="AC1" s="33"/>
      <c r="AI1" t="s">
        <v>1071</v>
      </c>
      <c r="AJ1">
        <f>IF(Karakterlap!G2=0,100,Karakterlap!G2)</f>
        <v>100</v>
      </c>
    </row>
    <row r="2" spans="1:36" ht="17.100000000000001" customHeight="1" x14ac:dyDescent="0.25">
      <c r="A2" s="33"/>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I2" t="s">
        <v>1072</v>
      </c>
      <c r="AJ2">
        <f>IF(Karakterlap!G3=0,60,Karakterlap!G3)</f>
        <v>60</v>
      </c>
    </row>
    <row r="3" spans="1:36" ht="17.100000000000001" customHeight="1" x14ac:dyDescent="0.25">
      <c r="A3" s="33"/>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I3" t="s">
        <v>1073</v>
      </c>
      <c r="AJ3">
        <f>IF(Karakterlap!G4=0,60,Karakterlap!G4)</f>
        <v>60</v>
      </c>
    </row>
    <row r="4" spans="1:36" ht="17.100000000000001" customHeight="1" x14ac:dyDescent="0.25">
      <c r="A4" s="33"/>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row>
    <row r="5" spans="1:36" ht="17.100000000000001" customHeight="1" x14ac:dyDescent="0.25">
      <c r="A5" s="33"/>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row>
    <row r="6" spans="1:36" ht="17.100000000000001" customHeight="1" x14ac:dyDescent="0.25">
      <c r="A6" s="33"/>
      <c r="B6" s="33"/>
      <c r="C6" s="271" t="s">
        <v>1782</v>
      </c>
      <c r="D6" s="271"/>
      <c r="E6" s="271"/>
      <c r="F6" s="271"/>
      <c r="G6" s="271"/>
      <c r="H6" s="271"/>
      <c r="I6" s="33"/>
      <c r="J6" s="33"/>
      <c r="K6" s="33"/>
      <c r="L6" s="33"/>
      <c r="M6" s="33"/>
      <c r="N6" s="33"/>
      <c r="O6" s="33"/>
      <c r="P6" s="33"/>
      <c r="Q6" s="33"/>
      <c r="R6" s="33"/>
      <c r="S6" s="33"/>
      <c r="T6" s="33"/>
      <c r="U6" s="33"/>
      <c r="V6" s="33"/>
      <c r="W6" s="33"/>
      <c r="X6" s="33"/>
      <c r="Y6" s="33"/>
      <c r="Z6" s="33"/>
      <c r="AA6" s="33"/>
      <c r="AB6" s="33"/>
      <c r="AC6" s="33"/>
    </row>
    <row r="7" spans="1:36" ht="17.100000000000001" customHeight="1" x14ac:dyDescent="0.25">
      <c r="A7" s="33"/>
      <c r="B7" s="33"/>
      <c r="C7" s="255" t="str">
        <f>IF(Karakterlap!B1&lt;&gt;0,Karakterlap!B1,"")</f>
        <v/>
      </c>
      <c r="D7" s="257"/>
      <c r="E7" s="257"/>
      <c r="F7" s="257"/>
      <c r="G7" s="257"/>
      <c r="H7" s="256"/>
      <c r="I7" s="33"/>
      <c r="J7" s="33"/>
      <c r="K7" s="268" t="s">
        <v>1517</v>
      </c>
      <c r="L7" s="268"/>
      <c r="M7" s="268"/>
      <c r="N7" s="268"/>
      <c r="O7" s="268"/>
      <c r="P7" s="268"/>
      <c r="Q7" s="268"/>
      <c r="R7" s="268"/>
      <c r="S7" s="268"/>
      <c r="T7" s="268"/>
      <c r="U7" s="268"/>
      <c r="V7" s="268"/>
      <c r="W7" s="268"/>
      <c r="X7" s="268"/>
      <c r="Y7" s="268"/>
      <c r="Z7" s="33"/>
      <c r="AA7" s="33"/>
      <c r="AB7" s="33"/>
      <c r="AC7" s="33"/>
    </row>
    <row r="8" spans="1:36" ht="17.100000000000001" customHeight="1" x14ac:dyDescent="0.25">
      <c r="A8" s="33"/>
      <c r="B8" s="33"/>
      <c r="C8" s="267" t="s">
        <v>1783</v>
      </c>
      <c r="D8" s="267"/>
      <c r="E8" s="267"/>
      <c r="F8" s="267"/>
      <c r="G8" s="267"/>
      <c r="H8" s="267"/>
      <c r="I8" s="33"/>
      <c r="J8" s="33"/>
      <c r="K8" s="33"/>
      <c r="L8" s="33"/>
      <c r="M8" s="33"/>
      <c r="N8" s="272" t="s">
        <v>1425</v>
      </c>
      <c r="O8" s="273"/>
      <c r="P8" s="272" t="s">
        <v>1069</v>
      </c>
      <c r="Q8" s="273"/>
      <c r="R8" s="272" t="s">
        <v>1527</v>
      </c>
      <c r="S8" s="273"/>
      <c r="T8" s="272" t="s">
        <v>1069</v>
      </c>
      <c r="U8" s="273"/>
      <c r="V8" s="272" t="s">
        <v>1070</v>
      </c>
      <c r="W8" s="273"/>
      <c r="X8" s="272" t="s">
        <v>1069</v>
      </c>
      <c r="Y8" s="273"/>
      <c r="Z8" s="33"/>
      <c r="AA8" s="33"/>
      <c r="AB8" s="33"/>
      <c r="AC8" s="33"/>
    </row>
    <row r="9" spans="1:36" ht="17.100000000000001" customHeight="1" x14ac:dyDescent="0.25">
      <c r="A9" s="33"/>
      <c r="B9" s="33"/>
      <c r="C9" s="255" t="str">
        <f>IF(Karakterlap!B4&lt;&gt;0,Karakterlap!B4,"")</f>
        <v/>
      </c>
      <c r="D9" s="257"/>
      <c r="E9" s="257"/>
      <c r="F9" s="257"/>
      <c r="G9" s="257"/>
      <c r="H9" s="256"/>
      <c r="I9" s="33"/>
      <c r="J9" s="33"/>
      <c r="K9" s="272" t="s">
        <v>1518</v>
      </c>
      <c r="L9" s="267"/>
      <c r="M9" s="273"/>
      <c r="N9" s="255" t="str">
        <f>IF(Karakterlap!B17&lt;&gt;0,Karakterlap!B17,"")</f>
        <v/>
      </c>
      <c r="O9" s="256"/>
      <c r="P9" s="255" t="str">
        <f>IF(Karakterlap!C17&lt;&gt;"",Karakterlap!C17,"")</f>
        <v/>
      </c>
      <c r="Q9" s="256"/>
      <c r="R9" s="255" t="str">
        <f>IF(Karakterlap!D15="x",Karakterlap!D17,"")</f>
        <v/>
      </c>
      <c r="S9" s="256"/>
      <c r="T9" s="255" t="str">
        <f>IF(Karakterlap!D15="x",Karakterlap!E17,"")</f>
        <v/>
      </c>
      <c r="U9" s="256"/>
      <c r="V9" s="255" t="str">
        <f>IF(Karakterlap!F15="x",Karakterlap!F17,"")</f>
        <v/>
      </c>
      <c r="W9" s="256"/>
      <c r="X9" s="255" t="str">
        <f>IF(Karakterlap!F15="x",Karakterlap!G17,"")</f>
        <v/>
      </c>
      <c r="Y9" s="256"/>
      <c r="Z9" s="33"/>
      <c r="AA9" s="33"/>
      <c r="AB9" s="33"/>
      <c r="AC9" s="33"/>
    </row>
    <row r="10" spans="1:36" ht="17.100000000000001" customHeight="1" x14ac:dyDescent="0.25">
      <c r="A10" s="33"/>
      <c r="B10" s="33"/>
      <c r="C10" s="267" t="s">
        <v>1785</v>
      </c>
      <c r="D10" s="267"/>
      <c r="E10" s="267"/>
      <c r="F10" s="267"/>
      <c r="G10" s="267"/>
      <c r="H10" s="267"/>
      <c r="I10" s="33"/>
      <c r="J10" s="33"/>
      <c r="K10" s="272" t="s">
        <v>1519</v>
      </c>
      <c r="L10" s="267"/>
      <c r="M10" s="273"/>
      <c r="N10" s="255" t="str">
        <f>IF(Karakterlap!B18&lt;&gt;0,Karakterlap!B18,"")</f>
        <v/>
      </c>
      <c r="O10" s="256"/>
      <c r="P10" s="255" t="str">
        <f>IF(Karakterlap!C18&lt;&gt;"",Karakterlap!C18,"")</f>
        <v/>
      </c>
      <c r="Q10" s="256"/>
      <c r="R10" s="255" t="str">
        <f>IF(Karakterlap!D15="x",Karakterlap!D18,"")</f>
        <v/>
      </c>
      <c r="S10" s="256"/>
      <c r="T10" s="255" t="str">
        <f>IF(Karakterlap!D15="x",Karakterlap!E18,"")</f>
        <v/>
      </c>
      <c r="U10" s="256"/>
      <c r="V10" s="255" t="str">
        <f>IF(Karakterlap!F15="x",Karakterlap!F18,"")</f>
        <v/>
      </c>
      <c r="W10" s="256"/>
      <c r="X10" s="255" t="str">
        <f>IF(Karakterlap!F15="x",Karakterlap!G18,"")</f>
        <v/>
      </c>
      <c r="Y10" s="256"/>
      <c r="Z10" s="33"/>
      <c r="AA10" s="33"/>
      <c r="AB10" s="33"/>
      <c r="AC10" s="33"/>
    </row>
    <row r="11" spans="1:36" ht="17.100000000000001" customHeight="1" x14ac:dyDescent="0.25">
      <c r="A11" s="33"/>
      <c r="B11" s="33"/>
      <c r="C11" s="255" t="str">
        <f>IF(Karakterlap!B6&lt;&gt;0,Karakterlap!B6,"")</f>
        <v/>
      </c>
      <c r="D11" s="257"/>
      <c r="E11" s="257"/>
      <c r="F11" s="257"/>
      <c r="G11" s="257"/>
      <c r="H11" s="256"/>
      <c r="I11" s="33"/>
      <c r="J11" s="33"/>
      <c r="K11" s="272" t="s">
        <v>1520</v>
      </c>
      <c r="L11" s="267"/>
      <c r="M11" s="273"/>
      <c r="N11" s="255" t="str">
        <f>IF(Karakterlap!B19&lt;&gt;0,Karakterlap!B19,"")</f>
        <v/>
      </c>
      <c r="O11" s="256"/>
      <c r="P11" s="255" t="str">
        <f>IF(Karakterlap!C19&lt;&gt;"",Karakterlap!C19,"")</f>
        <v/>
      </c>
      <c r="Q11" s="256"/>
      <c r="R11" s="255" t="str">
        <f>IF(Karakterlap!D15="x",Karakterlap!D19,"")</f>
        <v/>
      </c>
      <c r="S11" s="256"/>
      <c r="T11" s="255" t="str">
        <f>IF(Karakterlap!D15="x",Karakterlap!E19,"")</f>
        <v/>
      </c>
      <c r="U11" s="256"/>
      <c r="V11" s="255" t="str">
        <f>IF(Karakterlap!F15="x",Karakterlap!F19,"")</f>
        <v/>
      </c>
      <c r="W11" s="256"/>
      <c r="X11" s="255" t="str">
        <f>IF(Karakterlap!F15="x",Karakterlap!G19,"")</f>
        <v/>
      </c>
      <c r="Y11" s="256"/>
      <c r="Z11" s="33"/>
      <c r="AA11" s="33"/>
      <c r="AB11" s="33"/>
      <c r="AC11" s="33"/>
    </row>
    <row r="12" spans="1:36" ht="17.100000000000001" customHeight="1" x14ac:dyDescent="0.25">
      <c r="A12" s="33"/>
      <c r="B12" s="33"/>
      <c r="C12" s="267" t="s">
        <v>1786</v>
      </c>
      <c r="D12" s="267"/>
      <c r="E12" s="267"/>
      <c r="F12" s="267"/>
      <c r="G12" s="267"/>
      <c r="H12" s="267"/>
      <c r="I12" s="33"/>
      <c r="J12" s="33"/>
      <c r="K12" s="272" t="s">
        <v>1522</v>
      </c>
      <c r="L12" s="267"/>
      <c r="M12" s="273"/>
      <c r="N12" s="255" t="str">
        <f>IF(Karakterlap!B20&lt;&gt;0,Karakterlap!B20,"")</f>
        <v/>
      </c>
      <c r="O12" s="256"/>
      <c r="P12" s="255" t="str">
        <f>IF(Karakterlap!C20&lt;&gt;"",Karakterlap!C20,"")</f>
        <v/>
      </c>
      <c r="Q12" s="256"/>
      <c r="R12" s="255" t="str">
        <f>IF(Karakterlap!D15="x",Karakterlap!D20,"")</f>
        <v/>
      </c>
      <c r="S12" s="256"/>
      <c r="T12" s="255" t="str">
        <f>IF(Karakterlap!D15="x",Karakterlap!E20,"")</f>
        <v/>
      </c>
      <c r="U12" s="256"/>
      <c r="V12" s="255" t="str">
        <f>IF(Karakterlap!F15="x",Karakterlap!F20,"")</f>
        <v/>
      </c>
      <c r="W12" s="256"/>
      <c r="X12" s="255" t="str">
        <f>IF(Karakterlap!F15="x",Karakterlap!G20,"")</f>
        <v/>
      </c>
      <c r="Y12" s="256"/>
      <c r="Z12" s="33"/>
      <c r="AA12" s="33"/>
      <c r="AB12" s="33"/>
      <c r="AC12" s="33"/>
    </row>
    <row r="13" spans="1:36" ht="17.100000000000001" customHeight="1" x14ac:dyDescent="0.25">
      <c r="A13" s="33"/>
      <c r="B13" s="33"/>
      <c r="C13" s="255" t="str">
        <f>IF(Karakterlap!B7&lt;&gt;0,IF(Karakterlap!D12&lt;&gt;0,Karakterlap!D12,Karakterlap!B7),"")</f>
        <v/>
      </c>
      <c r="D13" s="257"/>
      <c r="E13" s="257"/>
      <c r="F13" s="257"/>
      <c r="G13" s="257"/>
      <c r="H13" s="256"/>
      <c r="I13" s="33"/>
      <c r="J13" s="33"/>
      <c r="K13" s="272" t="s">
        <v>1521</v>
      </c>
      <c r="L13" s="267"/>
      <c r="M13" s="273"/>
      <c r="N13" s="255" t="str">
        <f>IF(Karakterlap!B21&lt;&gt;0,Karakterlap!B21,"")</f>
        <v/>
      </c>
      <c r="O13" s="256"/>
      <c r="P13" s="255" t="str">
        <f>IF(Karakterlap!C21&lt;&gt;"",Karakterlap!C21,"")</f>
        <v/>
      </c>
      <c r="Q13" s="256"/>
      <c r="R13" s="255" t="str">
        <f>IF(Karakterlap!D15="x",Karakterlap!D21,"")</f>
        <v/>
      </c>
      <c r="S13" s="256"/>
      <c r="T13" s="255" t="str">
        <f>IF(Karakterlap!D15="x",Karakterlap!E21,"")</f>
        <v/>
      </c>
      <c r="U13" s="256"/>
      <c r="V13" s="255" t="str">
        <f>IF(Karakterlap!F15="x",Karakterlap!F21,"")</f>
        <v/>
      </c>
      <c r="W13" s="256"/>
      <c r="X13" s="255" t="str">
        <f>IF(Karakterlap!F15="x",Karakterlap!G21,"")</f>
        <v/>
      </c>
      <c r="Y13" s="256"/>
      <c r="Z13" s="33"/>
      <c r="AA13" s="33"/>
      <c r="AB13" s="33"/>
      <c r="AC13" s="33"/>
    </row>
    <row r="14" spans="1:36" ht="17.100000000000001" customHeight="1" x14ac:dyDescent="0.25">
      <c r="A14" s="33"/>
      <c r="B14" s="33"/>
      <c r="C14" s="267" t="s">
        <v>966</v>
      </c>
      <c r="D14" s="267"/>
      <c r="E14" s="267"/>
      <c r="F14" s="267"/>
      <c r="G14" s="267"/>
      <c r="H14" s="267"/>
      <c r="I14" s="33"/>
      <c r="J14" s="33"/>
      <c r="K14" s="272" t="s">
        <v>1523</v>
      </c>
      <c r="L14" s="267"/>
      <c r="M14" s="273"/>
      <c r="N14" s="255" t="str">
        <f>IF(Karakterlap!B22&lt;&gt;0,Karakterlap!B22,"")</f>
        <v/>
      </c>
      <c r="O14" s="256"/>
      <c r="P14" s="255" t="str">
        <f>IF(Karakterlap!C22&lt;&gt;"",Karakterlap!C22,"")</f>
        <v/>
      </c>
      <c r="Q14" s="256"/>
      <c r="R14" s="255" t="str">
        <f>IF(Karakterlap!D15="x",Karakterlap!D22,"")</f>
        <v/>
      </c>
      <c r="S14" s="256"/>
      <c r="T14" s="255" t="str">
        <f>IF(Karakterlap!D15="x",Karakterlap!E22,"")</f>
        <v/>
      </c>
      <c r="U14" s="256"/>
      <c r="V14" s="255" t="str">
        <f>IF(Karakterlap!F15="x",Karakterlap!F22,"")</f>
        <v/>
      </c>
      <c r="W14" s="256"/>
      <c r="X14" s="255" t="str">
        <f>IF(Karakterlap!F15="x",Karakterlap!G22,"")</f>
        <v/>
      </c>
      <c r="Y14" s="256"/>
      <c r="Z14" s="33"/>
      <c r="AA14" s="33"/>
      <c r="AB14" s="33"/>
      <c r="AC14" s="33"/>
    </row>
    <row r="15" spans="1:36" ht="17.100000000000001" customHeight="1" x14ac:dyDescent="0.25">
      <c r="A15" s="33"/>
      <c r="B15" s="33"/>
      <c r="C15" s="255" t="str">
        <f>IF(Karakterlap!B8&lt;&gt;0,Karakterlap!B8,"")</f>
        <v/>
      </c>
      <c r="D15" s="257"/>
      <c r="E15" s="257"/>
      <c r="F15" s="257"/>
      <c r="G15" s="257"/>
      <c r="H15" s="256"/>
      <c r="I15" s="33"/>
      <c r="J15" s="33"/>
      <c r="K15" s="272" t="s">
        <v>1524</v>
      </c>
      <c r="L15" s="267"/>
      <c r="M15" s="273"/>
      <c r="N15" s="255" t="str">
        <f>IF(Karakterlap!B23&lt;&gt;0,Karakterlap!B23,"")</f>
        <v/>
      </c>
      <c r="O15" s="256"/>
      <c r="P15" s="255" t="str">
        <f>IF(Karakterlap!C23&lt;&gt;"",Karakterlap!C23,"")</f>
        <v/>
      </c>
      <c r="Q15" s="256"/>
      <c r="R15" s="255" t="str">
        <f>IF(Karakterlap!D15="x",Karakterlap!D23,"")</f>
        <v/>
      </c>
      <c r="S15" s="256"/>
      <c r="T15" s="255" t="str">
        <f>IF(Karakterlap!D15="x",Karakterlap!E23,"")</f>
        <v/>
      </c>
      <c r="U15" s="256"/>
      <c r="V15" s="255" t="str">
        <f>IF(Karakterlap!F15="x",Karakterlap!F23,"")</f>
        <v/>
      </c>
      <c r="W15" s="256"/>
      <c r="X15" s="255" t="str">
        <f>IF(Karakterlap!F15="x",Karakterlap!G23,"")</f>
        <v/>
      </c>
      <c r="Y15" s="256"/>
      <c r="Z15" s="33"/>
      <c r="AA15" s="33"/>
      <c r="AB15" s="33"/>
      <c r="AC15" s="33"/>
    </row>
    <row r="16" spans="1:36" ht="17.100000000000001" customHeight="1" x14ac:dyDescent="0.25">
      <c r="A16" s="33"/>
      <c r="B16" s="33"/>
      <c r="C16" s="269" t="s">
        <v>1788</v>
      </c>
      <c r="D16" s="269"/>
      <c r="E16" s="269"/>
      <c r="F16" s="269"/>
      <c r="G16" s="269"/>
      <c r="H16" s="269"/>
      <c r="I16" s="33"/>
      <c r="J16" s="33"/>
      <c r="K16" s="33"/>
      <c r="L16" s="33"/>
      <c r="M16" s="33"/>
      <c r="N16" s="33"/>
      <c r="O16" s="33"/>
      <c r="P16" s="33"/>
      <c r="Q16" s="33"/>
      <c r="R16" s="33"/>
      <c r="S16" s="33"/>
      <c r="T16" s="33"/>
      <c r="U16" s="33"/>
      <c r="V16" s="274" t="s">
        <v>1347</v>
      </c>
      <c r="W16" s="274"/>
      <c r="X16" s="274"/>
      <c r="Y16" s="274"/>
      <c r="Z16" s="274"/>
      <c r="AA16" s="274"/>
      <c r="AB16" s="33"/>
      <c r="AC16" s="33"/>
    </row>
    <row r="17" spans="1:29" ht="17.100000000000001" customHeight="1" x14ac:dyDescent="0.25">
      <c r="A17" s="33"/>
      <c r="B17" s="33"/>
      <c r="C17" s="255" t="str">
        <f>IF(Karakterlap!B10&lt;&gt;0,IF(Karakterlap!B11&lt;&gt;0,Karakterlap!B10 &amp; ", " &amp; Karakterlap!B11,Karakterlap!B10),"")</f>
        <v/>
      </c>
      <c r="D17" s="257"/>
      <c r="E17" s="257"/>
      <c r="F17" s="257"/>
      <c r="G17" s="257"/>
      <c r="H17" s="256"/>
      <c r="I17" s="33"/>
      <c r="J17" s="265" t="s">
        <v>1533</v>
      </c>
      <c r="K17" s="265"/>
      <c r="L17" s="265"/>
      <c r="M17" s="182"/>
      <c r="N17" s="271" t="s">
        <v>1535</v>
      </c>
      <c r="O17" s="271"/>
      <c r="P17" s="271"/>
      <c r="Q17" s="182"/>
      <c r="R17" s="271" t="s">
        <v>1215</v>
      </c>
      <c r="S17" s="271"/>
      <c r="T17" s="271"/>
      <c r="U17" s="174"/>
      <c r="V17" s="270" t="s">
        <v>1346</v>
      </c>
      <c r="W17" s="270"/>
      <c r="X17" s="270"/>
      <c r="Y17" s="270"/>
      <c r="Z17" s="270"/>
      <c r="AA17" s="270"/>
      <c r="AB17" s="33"/>
      <c r="AC17" s="33"/>
    </row>
    <row r="18" spans="1:29" ht="17.100000000000001" customHeight="1" x14ac:dyDescent="0.25">
      <c r="A18" s="33"/>
      <c r="B18" s="33"/>
      <c r="C18" s="269" t="s">
        <v>1787</v>
      </c>
      <c r="D18" s="269"/>
      <c r="E18" s="269"/>
      <c r="F18" s="269"/>
      <c r="G18" s="269"/>
      <c r="H18" s="269"/>
      <c r="I18" s="33"/>
      <c r="J18" s="255" t="str">
        <f>IF(Karakterlap!G6&lt;&gt;0,Karakterlap!G6,"")</f>
        <v/>
      </c>
      <c r="K18" s="257"/>
      <c r="L18" s="256"/>
      <c r="M18" s="179"/>
      <c r="N18" s="255" t="str">
        <f>Karakterlap!G8</f>
        <v/>
      </c>
      <c r="O18" s="257"/>
      <c r="P18" s="256"/>
      <c r="Q18" s="179"/>
      <c r="R18" s="255" t="str">
        <f>IF(Karakterlap!E9&lt;&gt;0,IF(Karakterlap!E10&lt;&gt;0,Karakterlap!E9&amp;"/"&amp;Karakterlap!E10,Karakterlap!E9),"")</f>
        <v/>
      </c>
      <c r="S18" s="257"/>
      <c r="T18" s="256"/>
      <c r="U18" s="178"/>
      <c r="V18" s="264" t="str">
        <f>IF(Karakterlap!G12&lt;&gt;0,Karakterlap!G12,"")</f>
        <v/>
      </c>
      <c r="W18" s="264"/>
      <c r="X18" s="264"/>
      <c r="Y18" s="264"/>
      <c r="Z18" s="264"/>
      <c r="AA18" s="264"/>
      <c r="AB18" s="33"/>
      <c r="AC18" s="33"/>
    </row>
    <row r="19" spans="1:29" ht="17.100000000000001" customHeight="1" x14ac:dyDescent="0.25">
      <c r="A19" s="33"/>
      <c r="B19" s="33"/>
      <c r="C19" s="255" t="str">
        <f>IF(Karakterlap!B12&lt;&gt;0,IF(Karakterlap!B13&lt;&gt;0,IF(Karakterlap!B14&lt;&gt;0,Karakterlap!B12&amp;"/"&amp;Karakterlap!B13&amp;"/"&amp;Karakterlap!B14,Karakterlap!B12&amp;"/"&amp;Karakterlap!B13),Karakterlap!B12),"")</f>
        <v/>
      </c>
      <c r="D19" s="257"/>
      <c r="E19" s="257"/>
      <c r="F19" s="257"/>
      <c r="G19" s="257"/>
      <c r="H19" s="256"/>
      <c r="I19" s="33"/>
      <c r="J19" s="267" t="s">
        <v>1534</v>
      </c>
      <c r="K19" s="267"/>
      <c r="L19" s="267"/>
      <c r="M19" s="182"/>
      <c r="N19" s="267" t="s">
        <v>1536</v>
      </c>
      <c r="O19" s="267"/>
      <c r="P19" s="267"/>
      <c r="Q19" s="182"/>
      <c r="R19" s="267" t="s">
        <v>1075</v>
      </c>
      <c r="S19" s="267"/>
      <c r="T19" s="267"/>
      <c r="U19" s="174"/>
      <c r="V19" s="270" t="s">
        <v>810</v>
      </c>
      <c r="W19" s="270"/>
      <c r="X19" s="270"/>
      <c r="Y19" s="270"/>
      <c r="Z19" s="270"/>
      <c r="AA19" s="270"/>
      <c r="AB19" s="33"/>
      <c r="AC19" s="33"/>
    </row>
    <row r="20" spans="1:29" ht="17.100000000000001" customHeight="1" x14ac:dyDescent="0.25">
      <c r="A20" s="33"/>
      <c r="B20" s="33"/>
      <c r="C20" s="33"/>
      <c r="D20" s="33"/>
      <c r="E20" s="33"/>
      <c r="F20" s="33"/>
      <c r="G20" s="33"/>
      <c r="H20" s="33"/>
      <c r="I20" s="33"/>
      <c r="J20" s="255" t="str">
        <f>Karakterlap!G7</f>
        <v/>
      </c>
      <c r="K20" s="257"/>
      <c r="L20" s="256"/>
      <c r="M20" s="179"/>
      <c r="N20" s="255" t="str">
        <f>Karakterlap!G9</f>
        <v/>
      </c>
      <c r="O20" s="257"/>
      <c r="P20" s="256"/>
      <c r="Q20" s="179"/>
      <c r="R20" s="255" t="str">
        <f>Karakterlap!E6&amp;"/"&amp;Karakterlap!E7</f>
        <v>50/50</v>
      </c>
      <c r="S20" s="257"/>
      <c r="T20" s="256"/>
      <c r="U20" s="178"/>
      <c r="V20" s="264" t="str">
        <f>IF(Karakterlap!G13&lt;&gt;0,Karakterlap!G13,"")</f>
        <v/>
      </c>
      <c r="W20" s="264"/>
      <c r="X20" s="264"/>
      <c r="Y20" s="264"/>
      <c r="Z20" s="264"/>
      <c r="AA20" s="264"/>
      <c r="AB20" s="33"/>
      <c r="AC20" s="33"/>
    </row>
    <row r="21" spans="1:29" ht="17.100000000000001" customHeight="1" x14ac:dyDescent="0.25">
      <c r="A21" s="33"/>
      <c r="B21" s="268" t="s">
        <v>899</v>
      </c>
      <c r="C21" s="268"/>
      <c r="D21" s="268"/>
      <c r="E21" s="268"/>
      <c r="F21" s="268"/>
      <c r="G21" s="268"/>
      <c r="H21" s="268"/>
      <c r="I21" s="268"/>
      <c r="J21" s="268"/>
      <c r="K21" s="268"/>
      <c r="L21" s="33"/>
      <c r="M21" s="268" t="s">
        <v>1074</v>
      </c>
      <c r="N21" s="268"/>
      <c r="O21" s="268"/>
      <c r="P21" s="268"/>
      <c r="Q21" s="268"/>
      <c r="R21" s="268"/>
      <c r="S21" s="33"/>
      <c r="T21" s="268" t="s">
        <v>173</v>
      </c>
      <c r="U21" s="268"/>
      <c r="V21" s="268"/>
      <c r="W21" s="268"/>
      <c r="X21" s="268"/>
      <c r="Y21" s="268"/>
      <c r="Z21" s="33"/>
      <c r="AA21" s="33"/>
      <c r="AB21" s="33"/>
      <c r="AC21" s="33"/>
    </row>
    <row r="22" spans="1:29" ht="17.100000000000001" customHeight="1" x14ac:dyDescent="0.25">
      <c r="A22" s="33"/>
      <c r="B22" s="177">
        <v>1</v>
      </c>
      <c r="C22" s="177">
        <v>2</v>
      </c>
      <c r="D22" s="177">
        <v>3</v>
      </c>
      <c r="E22" s="177">
        <v>4</v>
      </c>
      <c r="F22" s="177">
        <v>5</v>
      </c>
      <c r="G22" s="177">
        <v>6</v>
      </c>
      <c r="H22" s="177">
        <v>7</v>
      </c>
      <c r="I22" s="177">
        <v>8</v>
      </c>
      <c r="J22" s="177">
        <v>9</v>
      </c>
      <c r="K22" s="177">
        <v>10</v>
      </c>
      <c r="L22" s="33"/>
      <c r="M22" s="264" t="str">
        <f>IF(Karakterlap!A27&lt;&gt;0,Karakterlap!A27,"")</f>
        <v/>
      </c>
      <c r="N22" s="264"/>
      <c r="O22" s="264"/>
      <c r="P22" s="264"/>
      <c r="Q22" s="264"/>
      <c r="R22" s="264"/>
      <c r="S22" s="175" t="str">
        <f>IF(Karakterlap!B27&lt;&gt;0,Karakterlap!B27,"")</f>
        <v/>
      </c>
      <c r="T22" s="264" t="str">
        <f>IF(Karakterlap!C27&lt;&gt;0,Karakterlap!C27,"")</f>
        <v/>
      </c>
      <c r="U22" s="264"/>
      <c r="V22" s="264"/>
      <c r="W22" s="264"/>
      <c r="X22" s="264"/>
      <c r="Y22" s="264"/>
      <c r="Z22" s="175" t="str">
        <f>IF(Karakterlap!D27&lt;&gt;0,Karakterlap!D27,"")</f>
        <v/>
      </c>
      <c r="AA22" s="33"/>
      <c r="AB22" s="33"/>
      <c r="AC22" s="33"/>
    </row>
    <row r="23" spans="1:29" ht="17.100000000000001" customHeight="1" x14ac:dyDescent="0.25">
      <c r="A23" s="33"/>
      <c r="B23" s="177">
        <v>11</v>
      </c>
      <c r="C23" s="177">
        <v>12</v>
      </c>
      <c r="D23" s="177">
        <v>13</v>
      </c>
      <c r="E23" s="177">
        <v>14</v>
      </c>
      <c r="F23" s="177">
        <v>15</v>
      </c>
      <c r="G23" s="177">
        <v>16</v>
      </c>
      <c r="H23" s="177">
        <v>17</v>
      </c>
      <c r="I23" s="177">
        <v>18</v>
      </c>
      <c r="J23" s="177">
        <v>19</v>
      </c>
      <c r="K23" s="177">
        <v>20</v>
      </c>
      <c r="L23" s="33"/>
      <c r="M23" s="264" t="str">
        <f>IF(Karakterlap!A28&lt;&gt;0,Karakterlap!A28,"")</f>
        <v/>
      </c>
      <c r="N23" s="264"/>
      <c r="O23" s="264"/>
      <c r="P23" s="264"/>
      <c r="Q23" s="264"/>
      <c r="R23" s="264"/>
      <c r="S23" s="175" t="str">
        <f>IF(Karakterlap!B28&lt;&gt;0,Karakterlap!B28,"")</f>
        <v/>
      </c>
      <c r="T23" s="255" t="str">
        <f>IF(Karakterlap!C28&lt;&gt;0,Karakterlap!C28,"")</f>
        <v/>
      </c>
      <c r="U23" s="257"/>
      <c r="V23" s="257"/>
      <c r="W23" s="257"/>
      <c r="X23" s="257"/>
      <c r="Y23" s="256"/>
      <c r="Z23" s="175" t="str">
        <f>IF(Karakterlap!D28&lt;&gt;0,Karakterlap!D28,"")</f>
        <v/>
      </c>
      <c r="AA23" s="33"/>
      <c r="AB23" s="33"/>
      <c r="AC23" s="33"/>
    </row>
    <row r="24" spans="1:29" ht="17.100000000000001" customHeight="1" x14ac:dyDescent="0.25">
      <c r="A24" s="33"/>
      <c r="B24" s="177">
        <v>21</v>
      </c>
      <c r="C24" s="177">
        <v>22</v>
      </c>
      <c r="D24" s="177">
        <v>23</v>
      </c>
      <c r="E24" s="177">
        <v>24</v>
      </c>
      <c r="F24" s="177">
        <v>25</v>
      </c>
      <c r="G24" s="177">
        <v>26</v>
      </c>
      <c r="H24" s="177">
        <v>27</v>
      </c>
      <c r="I24" s="177">
        <v>28</v>
      </c>
      <c r="J24" s="177">
        <v>29</v>
      </c>
      <c r="K24" s="177">
        <v>30</v>
      </c>
      <c r="L24" s="33"/>
      <c r="M24" s="264" t="str">
        <f>IF(Karakterlap!A29&lt;&gt;0,Karakterlap!A29,"")</f>
        <v/>
      </c>
      <c r="N24" s="264"/>
      <c r="O24" s="264"/>
      <c r="P24" s="264"/>
      <c r="Q24" s="264"/>
      <c r="R24" s="264"/>
      <c r="S24" s="175" t="str">
        <f>IF(Karakterlap!B29&lt;&gt;0,Karakterlap!B29,"")</f>
        <v/>
      </c>
      <c r="T24" s="255" t="str">
        <f>IF(Karakterlap!C29&lt;&gt;0,Karakterlap!C29,"")</f>
        <v/>
      </c>
      <c r="U24" s="257"/>
      <c r="V24" s="257"/>
      <c r="W24" s="257"/>
      <c r="X24" s="257"/>
      <c r="Y24" s="256"/>
      <c r="Z24" s="175" t="str">
        <f>IF(Karakterlap!D29&lt;&gt;0,Karakterlap!D29,"")</f>
        <v/>
      </c>
      <c r="AA24" s="33"/>
      <c r="AB24" s="33"/>
      <c r="AC24" s="33"/>
    </row>
    <row r="25" spans="1:29" ht="17.100000000000001" customHeight="1" x14ac:dyDescent="0.25">
      <c r="A25" s="33"/>
      <c r="B25" s="177">
        <v>31</v>
      </c>
      <c r="C25" s="177">
        <v>32</v>
      </c>
      <c r="D25" s="177">
        <v>33</v>
      </c>
      <c r="E25" s="177">
        <v>34</v>
      </c>
      <c r="F25" s="177">
        <v>35</v>
      </c>
      <c r="G25" s="177">
        <v>36</v>
      </c>
      <c r="H25" s="177">
        <v>37</v>
      </c>
      <c r="I25" s="177">
        <v>38</v>
      </c>
      <c r="J25" s="177">
        <v>39</v>
      </c>
      <c r="K25" s="177">
        <v>40</v>
      </c>
      <c r="L25" s="33"/>
      <c r="M25" s="264" t="str">
        <f>IF(Karakterlap!A30&lt;&gt;0,Karakterlap!A30,"")</f>
        <v/>
      </c>
      <c r="N25" s="264"/>
      <c r="O25" s="264"/>
      <c r="P25" s="264"/>
      <c r="Q25" s="264"/>
      <c r="R25" s="264"/>
      <c r="S25" s="175" t="str">
        <f>IF(Karakterlap!B30&lt;&gt;0,Karakterlap!B30,"")</f>
        <v/>
      </c>
      <c r="T25" s="255" t="str">
        <f>IF(Karakterlap!C30&lt;&gt;0,Karakterlap!C30,"")</f>
        <v/>
      </c>
      <c r="U25" s="257"/>
      <c r="V25" s="257"/>
      <c r="W25" s="257"/>
      <c r="X25" s="257"/>
      <c r="Y25" s="256"/>
      <c r="Z25" s="175" t="str">
        <f>IF(Karakterlap!D30&lt;&gt;0,Karakterlap!D30,"")</f>
        <v/>
      </c>
      <c r="AA25" s="33"/>
      <c r="AB25" s="33"/>
      <c r="AC25" s="33"/>
    </row>
    <row r="26" spans="1:29" ht="17.100000000000001" customHeight="1" x14ac:dyDescent="0.25">
      <c r="A26" s="33"/>
      <c r="B26" s="177">
        <v>41</v>
      </c>
      <c r="C26" s="177">
        <v>42</v>
      </c>
      <c r="D26" s="177">
        <v>43</v>
      </c>
      <c r="E26" s="177">
        <v>44</v>
      </c>
      <c r="F26" s="177">
        <v>45</v>
      </c>
      <c r="G26" s="177">
        <v>46</v>
      </c>
      <c r="H26" s="177">
        <v>47</v>
      </c>
      <c r="I26" s="177">
        <v>48</v>
      </c>
      <c r="J26" s="177">
        <v>49</v>
      </c>
      <c r="K26" s="177">
        <v>50</v>
      </c>
      <c r="L26" s="33"/>
      <c r="M26" s="264" t="str">
        <f>IF(Karakterlap!A31&lt;&gt;0,Karakterlap!A31,"")</f>
        <v/>
      </c>
      <c r="N26" s="264"/>
      <c r="O26" s="264"/>
      <c r="P26" s="264"/>
      <c r="Q26" s="264"/>
      <c r="R26" s="264"/>
      <c r="S26" s="175" t="str">
        <f>IF(Karakterlap!B31&lt;&gt;0,Karakterlap!B31,"")</f>
        <v/>
      </c>
      <c r="T26" s="255" t="str">
        <f>IF(Karakterlap!C31&lt;&gt;0,Karakterlap!C31,"")</f>
        <v/>
      </c>
      <c r="U26" s="257"/>
      <c r="V26" s="257"/>
      <c r="W26" s="257"/>
      <c r="X26" s="257"/>
      <c r="Y26" s="256"/>
      <c r="Z26" s="175" t="str">
        <f>IF(Karakterlap!D31&lt;&gt;0,Karakterlap!D31,"")</f>
        <v/>
      </c>
      <c r="AA26" s="33"/>
      <c r="AB26" s="33"/>
      <c r="AC26" s="33"/>
    </row>
    <row r="27" spans="1:29" ht="17.100000000000001" customHeight="1" x14ac:dyDescent="0.25">
      <c r="A27" s="33"/>
      <c r="B27" s="177">
        <v>51</v>
      </c>
      <c r="C27" s="177">
        <v>52</v>
      </c>
      <c r="D27" s="177">
        <v>53</v>
      </c>
      <c r="E27" s="177">
        <v>54</v>
      </c>
      <c r="F27" s="177">
        <v>55</v>
      </c>
      <c r="G27" s="177">
        <v>56</v>
      </c>
      <c r="H27" s="177">
        <v>57</v>
      </c>
      <c r="I27" s="177">
        <v>58</v>
      </c>
      <c r="J27" s="177">
        <v>59</v>
      </c>
      <c r="K27" s="177">
        <v>60</v>
      </c>
      <c r="L27" s="33"/>
      <c r="M27" s="264" t="str">
        <f>IF(Karakterlap!A32&lt;&gt;0,Karakterlap!A32,"")</f>
        <v/>
      </c>
      <c r="N27" s="264"/>
      <c r="O27" s="264"/>
      <c r="P27" s="264"/>
      <c r="Q27" s="264"/>
      <c r="R27" s="264"/>
      <c r="S27" s="175" t="str">
        <f>IF(Karakterlap!B32&lt;&gt;0,Karakterlap!B32,"")</f>
        <v/>
      </c>
      <c r="T27" s="255" t="str">
        <f>IF(Karakterlap!C32&lt;&gt;0,Karakterlap!C32,"")</f>
        <v/>
      </c>
      <c r="U27" s="257"/>
      <c r="V27" s="257"/>
      <c r="W27" s="257"/>
      <c r="X27" s="257"/>
      <c r="Y27" s="256"/>
      <c r="Z27" s="175" t="str">
        <f>IF(Karakterlap!D32&lt;&gt;0,Karakterlap!D32,"")</f>
        <v/>
      </c>
      <c r="AA27" s="33"/>
      <c r="AB27" s="33"/>
      <c r="AC27" s="33"/>
    </row>
    <row r="28" spans="1:29" ht="17.100000000000001" customHeight="1" x14ac:dyDescent="0.25">
      <c r="A28" s="33"/>
      <c r="B28" s="177">
        <v>61</v>
      </c>
      <c r="C28" s="177">
        <v>62</v>
      </c>
      <c r="D28" s="177">
        <v>63</v>
      </c>
      <c r="E28" s="177">
        <v>64</v>
      </c>
      <c r="F28" s="177">
        <v>65</v>
      </c>
      <c r="G28" s="177">
        <v>66</v>
      </c>
      <c r="H28" s="177">
        <v>67</v>
      </c>
      <c r="I28" s="177">
        <v>68</v>
      </c>
      <c r="J28" s="177">
        <v>69</v>
      </c>
      <c r="K28" s="177">
        <v>70</v>
      </c>
      <c r="L28" s="33"/>
      <c r="M28" s="178"/>
      <c r="N28" s="178"/>
      <c r="O28" s="178"/>
      <c r="P28" s="178"/>
      <c r="Q28" s="178"/>
      <c r="R28" s="178"/>
      <c r="S28" s="177"/>
      <c r="T28" s="179"/>
      <c r="U28" s="179"/>
      <c r="V28" s="179"/>
      <c r="W28" s="179"/>
      <c r="X28" s="179"/>
      <c r="Y28" s="179"/>
      <c r="Z28" s="177"/>
      <c r="AA28" s="33"/>
      <c r="AB28" s="33"/>
      <c r="AC28" s="33"/>
    </row>
    <row r="29" spans="1:29" ht="17.100000000000001" customHeight="1" x14ac:dyDescent="0.25">
      <c r="A29" s="33"/>
      <c r="B29" s="177">
        <v>71</v>
      </c>
      <c r="C29" s="177">
        <v>72</v>
      </c>
      <c r="D29" s="177">
        <v>73</v>
      </c>
      <c r="E29" s="177">
        <v>74</v>
      </c>
      <c r="F29" s="177">
        <v>75</v>
      </c>
      <c r="G29" s="177">
        <v>76</v>
      </c>
      <c r="H29" s="177">
        <v>77</v>
      </c>
      <c r="I29" s="177">
        <v>78</v>
      </c>
      <c r="J29" s="177">
        <v>79</v>
      </c>
      <c r="K29" s="177">
        <v>80</v>
      </c>
      <c r="L29" s="33"/>
      <c r="M29" s="264" t="str">
        <f>IF(Karakterlap!F27&lt;&gt;0,Karakterlap!F27,"")</f>
        <v/>
      </c>
      <c r="N29" s="264"/>
      <c r="O29" s="264"/>
      <c r="P29" s="264"/>
      <c r="Q29" s="264"/>
      <c r="R29" s="264"/>
      <c r="S29" s="175" t="str">
        <f>IF(Karakterlap!G27&lt;&gt;0,Karakterlap!G27,"")</f>
        <v/>
      </c>
      <c r="T29" s="264" t="str">
        <f>IF(Karakterlap!H27&lt;&gt;0,Karakterlap!H27,"")</f>
        <v/>
      </c>
      <c r="U29" s="264"/>
      <c r="V29" s="264"/>
      <c r="W29" s="264"/>
      <c r="X29" s="264"/>
      <c r="Y29" s="264"/>
      <c r="Z29" s="175" t="str">
        <f>IF(Karakterlap!I27&lt;&gt;0,Karakterlap!I27,"")</f>
        <v/>
      </c>
      <c r="AA29" s="33"/>
      <c r="AB29" s="33"/>
      <c r="AC29" s="33"/>
    </row>
    <row r="30" spans="1:29" ht="17.100000000000001" customHeight="1" x14ac:dyDescent="0.25">
      <c r="A30" s="33"/>
      <c r="B30" s="177">
        <v>81</v>
      </c>
      <c r="C30" s="177">
        <v>82</v>
      </c>
      <c r="D30" s="177">
        <v>83</v>
      </c>
      <c r="E30" s="177">
        <v>84</v>
      </c>
      <c r="F30" s="177">
        <v>85</v>
      </c>
      <c r="G30" s="177">
        <v>86</v>
      </c>
      <c r="H30" s="177">
        <v>87</v>
      </c>
      <c r="I30" s="177">
        <v>88</v>
      </c>
      <c r="J30" s="177">
        <v>89</v>
      </c>
      <c r="K30" s="177">
        <v>90</v>
      </c>
      <c r="L30" s="33"/>
      <c r="M30" s="264" t="str">
        <f>IF(Karakterlap!F28&lt;&gt;0,Karakterlap!F28,"")</f>
        <v/>
      </c>
      <c r="N30" s="264"/>
      <c r="O30" s="264"/>
      <c r="P30" s="264"/>
      <c r="Q30" s="264"/>
      <c r="R30" s="264"/>
      <c r="S30" s="175" t="str">
        <f>IF(Karakterlap!G28&lt;&gt;0,Karakterlap!G28,"")</f>
        <v/>
      </c>
      <c r="T30" s="264" t="str">
        <f>IF(Karakterlap!H28&lt;&gt;0,Karakterlap!H28,"")</f>
        <v/>
      </c>
      <c r="U30" s="264"/>
      <c r="V30" s="264"/>
      <c r="W30" s="264"/>
      <c r="X30" s="264"/>
      <c r="Y30" s="264"/>
      <c r="Z30" s="175" t="str">
        <f>IF(Karakterlap!I28&lt;&gt;0,Karakterlap!I28,"")</f>
        <v/>
      </c>
      <c r="AA30" s="33"/>
      <c r="AB30" s="33"/>
      <c r="AC30" s="33"/>
    </row>
    <row r="31" spans="1:29" ht="17.100000000000001" customHeight="1" x14ac:dyDescent="0.25">
      <c r="A31" s="33"/>
      <c r="B31" s="177">
        <v>91</v>
      </c>
      <c r="C31" s="177">
        <v>92</v>
      </c>
      <c r="D31" s="177">
        <v>93</v>
      </c>
      <c r="E31" s="177">
        <v>94</v>
      </c>
      <c r="F31" s="177">
        <v>95</v>
      </c>
      <c r="G31" s="177">
        <v>96</v>
      </c>
      <c r="H31" s="177">
        <v>97</v>
      </c>
      <c r="I31" s="177">
        <v>98</v>
      </c>
      <c r="J31" s="177">
        <v>99</v>
      </c>
      <c r="K31" s="177">
        <v>100</v>
      </c>
      <c r="L31" s="33"/>
      <c r="M31" s="264" t="str">
        <f>IF(Karakterlap!F29&lt;&gt;0,Karakterlap!F29,"")</f>
        <v/>
      </c>
      <c r="N31" s="264"/>
      <c r="O31" s="264"/>
      <c r="P31" s="264"/>
      <c r="Q31" s="264"/>
      <c r="R31" s="264"/>
      <c r="S31" s="175" t="str">
        <f>IF(Karakterlap!G29&lt;&gt;0,Karakterlap!G29,"")</f>
        <v/>
      </c>
      <c r="T31" s="264" t="str">
        <f>IF(Karakterlap!H29&lt;&gt;0,Karakterlap!H29,"")</f>
        <v/>
      </c>
      <c r="U31" s="264"/>
      <c r="V31" s="264"/>
      <c r="W31" s="264"/>
      <c r="X31" s="264"/>
      <c r="Y31" s="264"/>
      <c r="Z31" s="175" t="str">
        <f>IF(Karakterlap!I29&lt;&gt;0,Karakterlap!I29,"")</f>
        <v/>
      </c>
      <c r="AA31" s="33"/>
      <c r="AB31" s="33"/>
      <c r="AC31" s="33"/>
    </row>
    <row r="32" spans="1:29" ht="17.100000000000001" customHeight="1" x14ac:dyDescent="0.25">
      <c r="A32" s="33"/>
      <c r="B32" s="268" t="s">
        <v>1216</v>
      </c>
      <c r="C32" s="268"/>
      <c r="D32" s="268"/>
      <c r="E32" s="268"/>
      <c r="F32" s="268"/>
      <c r="G32" s="268"/>
      <c r="H32" s="268"/>
      <c r="I32" s="268"/>
      <c r="J32" s="268"/>
      <c r="K32" s="268"/>
      <c r="L32" s="33"/>
      <c r="M32" s="264" t="str">
        <f>IF(Karakterlap!F30&lt;&gt;0,Karakterlap!F30,"")</f>
        <v/>
      </c>
      <c r="N32" s="264"/>
      <c r="O32" s="264"/>
      <c r="P32" s="264"/>
      <c r="Q32" s="264"/>
      <c r="R32" s="264"/>
      <c r="S32" s="175" t="str">
        <f>IF(Karakterlap!G30&lt;&gt;0,Karakterlap!G30,"")</f>
        <v/>
      </c>
      <c r="T32" s="264" t="str">
        <f>IF(Karakterlap!H30&lt;&gt;0,Karakterlap!H30,"")</f>
        <v/>
      </c>
      <c r="U32" s="264"/>
      <c r="V32" s="264"/>
      <c r="W32" s="264"/>
      <c r="X32" s="264"/>
      <c r="Y32" s="264"/>
      <c r="Z32" s="175" t="str">
        <f>IF(Karakterlap!I30&lt;&gt;0,Karakterlap!I30,"")</f>
        <v/>
      </c>
      <c r="AA32" s="33"/>
      <c r="AB32" s="33"/>
      <c r="AC32" s="33"/>
    </row>
    <row r="33" spans="1:29" ht="17.100000000000001" customHeight="1" x14ac:dyDescent="0.25">
      <c r="A33" s="33"/>
      <c r="B33" s="177">
        <v>1</v>
      </c>
      <c r="C33" s="177">
        <v>2</v>
      </c>
      <c r="D33" s="177">
        <v>3</v>
      </c>
      <c r="E33" s="177">
        <v>4</v>
      </c>
      <c r="F33" s="177">
        <v>5</v>
      </c>
      <c r="G33" s="177">
        <v>6</v>
      </c>
      <c r="H33" s="177">
        <v>7</v>
      </c>
      <c r="I33" s="177">
        <v>8</v>
      </c>
      <c r="J33" s="177">
        <v>9</v>
      </c>
      <c r="K33" s="177">
        <v>10</v>
      </c>
      <c r="L33" s="33"/>
      <c r="M33" s="264" t="str">
        <f>IF(Karakterlap!F31&lt;&gt;0,Karakterlap!F31,"")</f>
        <v/>
      </c>
      <c r="N33" s="264"/>
      <c r="O33" s="264"/>
      <c r="P33" s="264"/>
      <c r="Q33" s="264"/>
      <c r="R33" s="264"/>
      <c r="S33" s="175" t="str">
        <f>IF(Karakterlap!G31&lt;&gt;0,Karakterlap!G31,"")</f>
        <v/>
      </c>
      <c r="T33" s="264" t="str">
        <f>IF(Karakterlap!H31&lt;&gt;0,Karakterlap!H31,"")</f>
        <v/>
      </c>
      <c r="U33" s="264"/>
      <c r="V33" s="264"/>
      <c r="W33" s="264"/>
      <c r="X33" s="264"/>
      <c r="Y33" s="264"/>
      <c r="Z33" s="175" t="str">
        <f>IF(Karakterlap!I31&lt;&gt;0,Karakterlap!I31,"")</f>
        <v/>
      </c>
      <c r="AA33" s="33"/>
      <c r="AB33" s="33"/>
      <c r="AC33" s="33"/>
    </row>
    <row r="34" spans="1:29" ht="17.100000000000001" customHeight="1" x14ac:dyDescent="0.25">
      <c r="A34" s="33"/>
      <c r="B34" s="177">
        <v>11</v>
      </c>
      <c r="C34" s="177">
        <v>12</v>
      </c>
      <c r="D34" s="177">
        <v>13</v>
      </c>
      <c r="E34" s="177">
        <v>14</v>
      </c>
      <c r="F34" s="177">
        <v>15</v>
      </c>
      <c r="G34" s="177">
        <v>16</v>
      </c>
      <c r="H34" s="177">
        <v>17</v>
      </c>
      <c r="I34" s="177">
        <v>18</v>
      </c>
      <c r="J34" s="177">
        <v>19</v>
      </c>
      <c r="K34" s="177">
        <v>20</v>
      </c>
      <c r="L34" s="33"/>
      <c r="M34" s="179"/>
      <c r="N34" s="179"/>
      <c r="O34" s="179"/>
      <c r="P34" s="179"/>
      <c r="Q34" s="179"/>
      <c r="R34" s="179"/>
      <c r="S34" s="177"/>
      <c r="T34" s="179"/>
      <c r="U34" s="179"/>
      <c r="V34" s="179"/>
      <c r="W34" s="179"/>
      <c r="X34" s="179"/>
      <c r="Y34" s="179"/>
      <c r="Z34" s="177"/>
      <c r="AA34" s="33"/>
      <c r="AB34" s="33"/>
      <c r="AC34" s="33"/>
    </row>
    <row r="35" spans="1:29" ht="17.100000000000001" customHeight="1" x14ac:dyDescent="0.25">
      <c r="A35" s="33"/>
      <c r="B35" s="177">
        <v>21</v>
      </c>
      <c r="C35" s="177">
        <v>22</v>
      </c>
      <c r="D35" s="177">
        <v>23</v>
      </c>
      <c r="E35" s="177">
        <v>24</v>
      </c>
      <c r="F35" s="177">
        <v>25</v>
      </c>
      <c r="G35" s="177">
        <v>26</v>
      </c>
      <c r="H35" s="177">
        <v>27</v>
      </c>
      <c r="I35" s="177">
        <v>28</v>
      </c>
      <c r="J35" s="177">
        <v>29</v>
      </c>
      <c r="K35" s="177">
        <v>30</v>
      </c>
      <c r="L35" s="33"/>
      <c r="M35" s="264" t="str">
        <f>IF(Karakterlap!A36&lt;&gt;0,Karakterlap!A36,"")</f>
        <v/>
      </c>
      <c r="N35" s="264"/>
      <c r="O35" s="264"/>
      <c r="P35" s="264"/>
      <c r="Q35" s="264"/>
      <c r="R35" s="264"/>
      <c r="S35" s="175" t="str">
        <f>IF(Karakterlap!B36&lt;&gt;0,Karakterlap!B36,"")</f>
        <v/>
      </c>
      <c r="T35" s="264" t="str">
        <f>IF(Karakterlap!C36&lt;&gt;0,Karakterlap!C36,"")</f>
        <v/>
      </c>
      <c r="U35" s="264"/>
      <c r="V35" s="264"/>
      <c r="W35" s="264"/>
      <c r="X35" s="264"/>
      <c r="Y35" s="264"/>
      <c r="Z35" s="175" t="str">
        <f>IF(Karakterlap!D36&lt;&gt;0,Karakterlap!D36,"")</f>
        <v/>
      </c>
      <c r="AA35" s="33"/>
      <c r="AB35" s="33"/>
      <c r="AC35" s="33"/>
    </row>
    <row r="36" spans="1:29" ht="17.100000000000001" customHeight="1" x14ac:dyDescent="0.25">
      <c r="A36" s="33"/>
      <c r="B36" s="177">
        <v>31</v>
      </c>
      <c r="C36" s="177">
        <v>32</v>
      </c>
      <c r="D36" s="177">
        <v>33</v>
      </c>
      <c r="E36" s="177">
        <v>34</v>
      </c>
      <c r="F36" s="177">
        <v>35</v>
      </c>
      <c r="G36" s="177">
        <v>36</v>
      </c>
      <c r="H36" s="177">
        <v>37</v>
      </c>
      <c r="I36" s="177">
        <v>38</v>
      </c>
      <c r="J36" s="177">
        <v>39</v>
      </c>
      <c r="K36" s="177">
        <v>40</v>
      </c>
      <c r="L36" s="33"/>
      <c r="M36" s="264" t="str">
        <f>IF(Karakterlap!A37&lt;&gt;0,Karakterlap!A37,"")</f>
        <v/>
      </c>
      <c r="N36" s="264"/>
      <c r="O36" s="264"/>
      <c r="P36" s="264"/>
      <c r="Q36" s="264"/>
      <c r="R36" s="264"/>
      <c r="S36" s="175" t="str">
        <f>IF(Karakterlap!B37&lt;&gt;0,Karakterlap!B37,"")</f>
        <v/>
      </c>
      <c r="T36" s="264" t="str">
        <f>IF(Karakterlap!C37&lt;&gt;0,Karakterlap!C37,"")</f>
        <v/>
      </c>
      <c r="U36" s="264"/>
      <c r="V36" s="264"/>
      <c r="W36" s="264"/>
      <c r="X36" s="264"/>
      <c r="Y36" s="264"/>
      <c r="Z36" s="175" t="str">
        <f>IF(Karakterlap!D37&lt;&gt;0,Karakterlap!D37,"")</f>
        <v/>
      </c>
      <c r="AA36" s="33"/>
      <c r="AB36" s="33"/>
      <c r="AC36" s="33"/>
    </row>
    <row r="37" spans="1:29" ht="17.100000000000001" customHeight="1" x14ac:dyDescent="0.25">
      <c r="A37" s="33"/>
      <c r="B37" s="177">
        <v>41</v>
      </c>
      <c r="C37" s="177">
        <v>42</v>
      </c>
      <c r="D37" s="177">
        <v>43</v>
      </c>
      <c r="E37" s="177">
        <v>44</v>
      </c>
      <c r="F37" s="177">
        <v>45</v>
      </c>
      <c r="G37" s="177">
        <v>46</v>
      </c>
      <c r="H37" s="177">
        <v>47</v>
      </c>
      <c r="I37" s="177">
        <v>48</v>
      </c>
      <c r="J37" s="177">
        <v>49</v>
      </c>
      <c r="K37" s="177">
        <v>50</v>
      </c>
      <c r="L37" s="33"/>
      <c r="M37" s="264" t="str">
        <f>IF(Karakterlap!A38&lt;&gt;0,Karakterlap!A38,"")</f>
        <v/>
      </c>
      <c r="N37" s="264"/>
      <c r="O37" s="264"/>
      <c r="P37" s="264"/>
      <c r="Q37" s="264"/>
      <c r="R37" s="264"/>
      <c r="S37" s="175" t="str">
        <f>IF(Karakterlap!B38&lt;&gt;0,Karakterlap!B38,"")</f>
        <v/>
      </c>
      <c r="T37" s="264" t="str">
        <f>IF(Karakterlap!C38&lt;&gt;0,Karakterlap!C38,"")</f>
        <v/>
      </c>
      <c r="U37" s="264"/>
      <c r="V37" s="264"/>
      <c r="W37" s="264"/>
      <c r="X37" s="264"/>
      <c r="Y37" s="264"/>
      <c r="Z37" s="175" t="str">
        <f>IF(Karakterlap!D38&lt;&gt;0,Karakterlap!D38,"")</f>
        <v/>
      </c>
      <c r="AA37" s="33"/>
      <c r="AB37" s="33"/>
      <c r="AC37" s="33"/>
    </row>
    <row r="38" spans="1:29" ht="17.100000000000001" customHeight="1" x14ac:dyDescent="0.25">
      <c r="A38" s="33"/>
      <c r="B38" s="177">
        <v>51</v>
      </c>
      <c r="C38" s="177">
        <v>52</v>
      </c>
      <c r="D38" s="177">
        <v>53</v>
      </c>
      <c r="E38" s="177">
        <v>54</v>
      </c>
      <c r="F38" s="177">
        <v>55</v>
      </c>
      <c r="G38" s="177">
        <v>56</v>
      </c>
      <c r="H38" s="177">
        <v>57</v>
      </c>
      <c r="I38" s="177">
        <v>58</v>
      </c>
      <c r="J38" s="177">
        <v>59</v>
      </c>
      <c r="K38" s="177">
        <v>60</v>
      </c>
      <c r="L38" s="33"/>
      <c r="M38" s="264" t="str">
        <f>IF(Karakterlap!A39&lt;&gt;0,Karakterlap!A39,"")</f>
        <v/>
      </c>
      <c r="N38" s="264"/>
      <c r="O38" s="264"/>
      <c r="P38" s="264"/>
      <c r="Q38" s="264"/>
      <c r="R38" s="264"/>
      <c r="S38" s="175" t="str">
        <f>IF(Karakterlap!B39&lt;&gt;0,Karakterlap!B39,"")</f>
        <v/>
      </c>
      <c r="T38" s="264" t="str">
        <f>IF(Karakterlap!C39&lt;&gt;0,Karakterlap!C39,"")</f>
        <v/>
      </c>
      <c r="U38" s="264"/>
      <c r="V38" s="264"/>
      <c r="W38" s="264"/>
      <c r="X38" s="264"/>
      <c r="Y38" s="264"/>
      <c r="Z38" s="175" t="str">
        <f>IF(Karakterlap!D39&lt;&gt;0,Karakterlap!D39,"")</f>
        <v/>
      </c>
      <c r="AA38" s="33"/>
      <c r="AB38" s="33"/>
      <c r="AC38" s="33"/>
    </row>
    <row r="39" spans="1:29" ht="17.100000000000001" customHeight="1" x14ac:dyDescent="0.25">
      <c r="A39" s="33"/>
      <c r="B39" s="268" t="s">
        <v>1217</v>
      </c>
      <c r="C39" s="268"/>
      <c r="D39" s="268"/>
      <c r="E39" s="268"/>
      <c r="F39" s="268"/>
      <c r="G39" s="268"/>
      <c r="H39" s="268"/>
      <c r="I39" s="268"/>
      <c r="J39" s="268"/>
      <c r="K39" s="268"/>
      <c r="L39" s="33"/>
      <c r="M39" s="264" t="str">
        <f>IF(Karakterlap!A40&lt;&gt;0,Karakterlap!A40,"")</f>
        <v/>
      </c>
      <c r="N39" s="264"/>
      <c r="O39" s="264"/>
      <c r="P39" s="264"/>
      <c r="Q39" s="264"/>
      <c r="R39" s="264"/>
      <c r="S39" s="175" t="str">
        <f>IF(Karakterlap!B40&lt;&gt;0,Karakterlap!B40,"")</f>
        <v/>
      </c>
      <c r="T39" s="264" t="str">
        <f>IF(Karakterlap!C40&lt;&gt;0,Karakterlap!C40,"")</f>
        <v/>
      </c>
      <c r="U39" s="264"/>
      <c r="V39" s="264"/>
      <c r="W39" s="264"/>
      <c r="X39" s="264"/>
      <c r="Y39" s="264"/>
      <c r="Z39" s="175" t="str">
        <f>IF(Karakterlap!D40&lt;&gt;0,Karakterlap!D40,"")</f>
        <v/>
      </c>
      <c r="AA39" s="33"/>
      <c r="AB39" s="33"/>
      <c r="AC39" s="33"/>
    </row>
    <row r="40" spans="1:29" ht="17.100000000000001" customHeight="1" x14ac:dyDescent="0.25">
      <c r="A40" s="33"/>
      <c r="B40" s="177">
        <v>1</v>
      </c>
      <c r="C40" s="177">
        <v>2</v>
      </c>
      <c r="D40" s="177">
        <v>3</v>
      </c>
      <c r="E40" s="177">
        <v>4</v>
      </c>
      <c r="F40" s="177">
        <v>5</v>
      </c>
      <c r="G40" s="177">
        <v>6</v>
      </c>
      <c r="H40" s="177">
        <v>7</v>
      </c>
      <c r="I40" s="177">
        <v>8</v>
      </c>
      <c r="J40" s="177">
        <v>9</v>
      </c>
      <c r="K40" s="177">
        <v>10</v>
      </c>
      <c r="L40" s="33"/>
      <c r="M40" s="177"/>
      <c r="N40" s="177"/>
      <c r="O40" s="177"/>
      <c r="P40" s="177"/>
      <c r="Q40" s="177"/>
      <c r="R40" s="177"/>
      <c r="S40" s="177"/>
      <c r="T40" s="177"/>
      <c r="U40" s="177"/>
      <c r="V40" s="177"/>
      <c r="W40" s="177"/>
      <c r="X40" s="177"/>
      <c r="Y40" s="177"/>
      <c r="Z40" s="177"/>
      <c r="AA40" s="33"/>
      <c r="AB40" s="33"/>
      <c r="AC40" s="33"/>
    </row>
    <row r="41" spans="1:29" ht="17.100000000000001" customHeight="1" x14ac:dyDescent="0.25">
      <c r="A41" s="33"/>
      <c r="B41" s="177">
        <v>11</v>
      </c>
      <c r="C41" s="177">
        <v>12</v>
      </c>
      <c r="D41" s="177">
        <v>13</v>
      </c>
      <c r="E41" s="177">
        <v>14</v>
      </c>
      <c r="F41" s="177">
        <v>15</v>
      </c>
      <c r="G41" s="177">
        <v>16</v>
      </c>
      <c r="H41" s="177">
        <v>17</v>
      </c>
      <c r="I41" s="177">
        <v>18</v>
      </c>
      <c r="J41" s="177">
        <v>19</v>
      </c>
      <c r="K41" s="177">
        <v>20</v>
      </c>
      <c r="L41" s="33"/>
      <c r="M41" s="264" t="str">
        <f>IF(Karakterlap!F34&lt;&gt;0,Karakterlap!F34,"")</f>
        <v/>
      </c>
      <c r="N41" s="264"/>
      <c r="O41" s="264"/>
      <c r="P41" s="264"/>
      <c r="Q41" s="264"/>
      <c r="R41" s="264" t="str">
        <f>IF(Karakterlap!G34&lt;&gt;0,Karakterlap!G34,"")</f>
        <v/>
      </c>
      <c r="S41" s="264"/>
      <c r="T41" s="264"/>
      <c r="U41" s="264"/>
      <c r="V41" s="264" t="str">
        <f>IF(Karakterlap!H34&lt;&gt;0,Karakterlap!H34,"")</f>
        <v/>
      </c>
      <c r="W41" s="264"/>
      <c r="X41" s="264"/>
      <c r="Y41" s="264"/>
      <c r="Z41" s="176" t="str">
        <f>IF(Karakterlap!I34&lt;&gt;0,Karakterlap!I34,"")</f>
        <v/>
      </c>
      <c r="AA41" s="33"/>
      <c r="AB41" s="33"/>
      <c r="AC41" s="33"/>
    </row>
    <row r="42" spans="1:29" ht="17.100000000000001" customHeight="1" x14ac:dyDescent="0.25">
      <c r="A42" s="33"/>
      <c r="B42" s="177">
        <v>21</v>
      </c>
      <c r="C42" s="177">
        <v>22</v>
      </c>
      <c r="D42" s="177">
        <v>23</v>
      </c>
      <c r="E42" s="177">
        <v>24</v>
      </c>
      <c r="F42" s="177">
        <v>25</v>
      </c>
      <c r="G42" s="177">
        <v>26</v>
      </c>
      <c r="H42" s="177">
        <v>27</v>
      </c>
      <c r="I42" s="177">
        <v>28</v>
      </c>
      <c r="J42" s="177">
        <v>29</v>
      </c>
      <c r="K42" s="177">
        <v>30</v>
      </c>
      <c r="L42" s="33"/>
      <c r="M42" s="264" t="str">
        <f>IF(Karakterlap!F35&lt;&gt;0,Karakterlap!F35,"")</f>
        <v/>
      </c>
      <c r="N42" s="264"/>
      <c r="O42" s="264"/>
      <c r="P42" s="264"/>
      <c r="Q42" s="264"/>
      <c r="R42" s="264" t="str">
        <f>IF(Karakterlap!G35&lt;&gt;0,Karakterlap!G35,"")</f>
        <v/>
      </c>
      <c r="S42" s="264"/>
      <c r="T42" s="264"/>
      <c r="U42" s="264"/>
      <c r="V42" s="264" t="str">
        <f>IF(Karakterlap!H35&lt;&gt;0,Karakterlap!H35,"")</f>
        <v/>
      </c>
      <c r="W42" s="264"/>
      <c r="X42" s="264"/>
      <c r="Y42" s="264"/>
      <c r="Z42" s="176" t="str">
        <f>IF(Karakterlap!I35&lt;&gt;0,Karakterlap!I35,"")</f>
        <v/>
      </c>
      <c r="AA42" s="33"/>
      <c r="AB42" s="33"/>
      <c r="AC42" s="33"/>
    </row>
    <row r="43" spans="1:29" ht="17.100000000000001" customHeight="1" x14ac:dyDescent="0.25">
      <c r="A43" s="33"/>
      <c r="B43" s="177">
        <v>31</v>
      </c>
      <c r="C43" s="177">
        <v>32</v>
      </c>
      <c r="D43" s="177">
        <v>33</v>
      </c>
      <c r="E43" s="177">
        <v>34</v>
      </c>
      <c r="F43" s="177">
        <v>35</v>
      </c>
      <c r="G43" s="177">
        <v>36</v>
      </c>
      <c r="H43" s="177">
        <v>37</v>
      </c>
      <c r="I43" s="177">
        <v>38</v>
      </c>
      <c r="J43" s="177">
        <v>39</v>
      </c>
      <c r="K43" s="177">
        <v>40</v>
      </c>
      <c r="L43" s="33"/>
      <c r="M43" s="264" t="str">
        <f>IF(Karakterlap!F36&lt;&gt;0,Karakterlap!F36,"")</f>
        <v/>
      </c>
      <c r="N43" s="264"/>
      <c r="O43" s="264"/>
      <c r="P43" s="264"/>
      <c r="Q43" s="264"/>
      <c r="R43" s="264" t="str">
        <f>IF(Karakterlap!G36&lt;&gt;0,Karakterlap!G36,"")</f>
        <v/>
      </c>
      <c r="S43" s="264"/>
      <c r="T43" s="264"/>
      <c r="U43" s="264"/>
      <c r="V43" s="264" t="str">
        <f>IF(Karakterlap!H36&lt;&gt;0,Karakterlap!H36,"")</f>
        <v/>
      </c>
      <c r="W43" s="264"/>
      <c r="X43" s="264"/>
      <c r="Y43" s="264"/>
      <c r="Z43" s="176" t="str">
        <f>IF(Karakterlap!I36&lt;&gt;0,Karakterlap!I36,"")</f>
        <v/>
      </c>
      <c r="AA43" s="33"/>
      <c r="AB43" s="33"/>
      <c r="AC43" s="33"/>
    </row>
    <row r="44" spans="1:29" ht="17.100000000000001" customHeight="1" x14ac:dyDescent="0.25">
      <c r="A44" s="33"/>
      <c r="B44" s="177">
        <v>41</v>
      </c>
      <c r="C44" s="177">
        <v>42</v>
      </c>
      <c r="D44" s="177">
        <v>43</v>
      </c>
      <c r="E44" s="177">
        <v>44</v>
      </c>
      <c r="F44" s="177">
        <v>45</v>
      </c>
      <c r="G44" s="177">
        <v>46</v>
      </c>
      <c r="H44" s="177">
        <v>47</v>
      </c>
      <c r="I44" s="177">
        <v>48</v>
      </c>
      <c r="J44" s="177">
        <v>49</v>
      </c>
      <c r="K44" s="177">
        <v>50</v>
      </c>
      <c r="L44" s="33"/>
      <c r="M44" s="264" t="str">
        <f>IF(Karakterlap!F37&lt;&gt;0,Karakterlap!F37,"")</f>
        <v/>
      </c>
      <c r="N44" s="264"/>
      <c r="O44" s="264"/>
      <c r="P44" s="264"/>
      <c r="Q44" s="264"/>
      <c r="R44" s="264" t="str">
        <f>IF(Karakterlap!G37&lt;&gt;0,Karakterlap!G37,"")</f>
        <v/>
      </c>
      <c r="S44" s="264"/>
      <c r="T44" s="264"/>
      <c r="U44" s="264"/>
      <c r="V44" s="264" t="str">
        <f>IF(Karakterlap!H37&lt;&gt;0,Karakterlap!H37,"")</f>
        <v/>
      </c>
      <c r="W44" s="264"/>
      <c r="X44" s="264"/>
      <c r="Y44" s="264"/>
      <c r="Z44" s="176" t="str">
        <f>IF(Karakterlap!I37&lt;&gt;0,Karakterlap!I37,"")</f>
        <v/>
      </c>
      <c r="AA44" s="33"/>
      <c r="AB44" s="33"/>
      <c r="AC44" s="33"/>
    </row>
    <row r="45" spans="1:29" ht="17.100000000000001" customHeight="1" x14ac:dyDescent="0.25">
      <c r="A45" s="33"/>
      <c r="B45" s="177">
        <v>51</v>
      </c>
      <c r="C45" s="177">
        <v>52</v>
      </c>
      <c r="D45" s="177">
        <v>53</v>
      </c>
      <c r="E45" s="177">
        <v>54</v>
      </c>
      <c r="F45" s="177">
        <v>55</v>
      </c>
      <c r="G45" s="177">
        <v>56</v>
      </c>
      <c r="H45" s="177">
        <v>57</v>
      </c>
      <c r="I45" s="177">
        <v>58</v>
      </c>
      <c r="J45" s="177">
        <v>59</v>
      </c>
      <c r="K45" s="177">
        <v>60</v>
      </c>
      <c r="L45" s="33"/>
      <c r="M45" s="264" t="str">
        <f>IF(Karakterlap!F38&lt;&gt;0,Karakterlap!F38,"")</f>
        <v/>
      </c>
      <c r="N45" s="264"/>
      <c r="O45" s="264"/>
      <c r="P45" s="264"/>
      <c r="Q45" s="264"/>
      <c r="R45" s="264" t="str">
        <f>IF(Karakterlap!G38&lt;&gt;0,Karakterlap!G38,"")</f>
        <v/>
      </c>
      <c r="S45" s="264"/>
      <c r="T45" s="264"/>
      <c r="U45" s="264"/>
      <c r="V45" s="264" t="str">
        <f>IF(Karakterlap!H38&lt;&gt;0,Karakterlap!H38,"")</f>
        <v/>
      </c>
      <c r="W45" s="264"/>
      <c r="X45" s="264"/>
      <c r="Y45" s="264"/>
      <c r="Z45" s="176" t="str">
        <f>IF(Karakterlap!I38&lt;&gt;0,Karakterlap!I38,"")</f>
        <v/>
      </c>
      <c r="AA45" s="33"/>
      <c r="AB45" s="33"/>
      <c r="AC45" s="33"/>
    </row>
    <row r="46" spans="1:29" ht="17.100000000000001" customHeight="1" x14ac:dyDescent="0.25">
      <c r="A46" s="33"/>
      <c r="B46" s="33"/>
      <c r="C46" s="33"/>
      <c r="D46" s="33"/>
      <c r="E46" s="33"/>
      <c r="F46" s="33"/>
      <c r="G46" s="33"/>
      <c r="H46" s="33"/>
      <c r="I46" s="33"/>
      <c r="J46" s="33"/>
      <c r="K46" s="33"/>
      <c r="L46" s="33"/>
      <c r="M46" s="264" t="str">
        <f>IF(Karakterlap!F39&lt;&gt;0,Karakterlap!F39,"")</f>
        <v/>
      </c>
      <c r="N46" s="264"/>
      <c r="O46" s="264"/>
      <c r="P46" s="264"/>
      <c r="Q46" s="264"/>
      <c r="R46" s="264" t="str">
        <f>IF(Karakterlap!G39&lt;&gt;0,Karakterlap!G39,"")</f>
        <v/>
      </c>
      <c r="S46" s="264"/>
      <c r="T46" s="264"/>
      <c r="U46" s="264"/>
      <c r="V46" s="264" t="str">
        <f>IF(Karakterlap!H39&lt;&gt;0,Karakterlap!H39,"")</f>
        <v/>
      </c>
      <c r="W46" s="264"/>
      <c r="X46" s="264"/>
      <c r="Y46" s="264"/>
      <c r="Z46" s="176" t="str">
        <f>IF(Karakterlap!I39&lt;&gt;0,Karakterlap!I39,"")</f>
        <v/>
      </c>
      <c r="AA46" s="33"/>
      <c r="AB46" s="33"/>
      <c r="AC46" s="33"/>
    </row>
    <row r="47" spans="1:29" ht="17.100000000000001" customHeight="1" x14ac:dyDescent="0.25">
      <c r="A47" s="33"/>
      <c r="B47" s="33"/>
      <c r="C47" s="33"/>
      <c r="D47" s="33"/>
      <c r="E47" s="33"/>
      <c r="F47" s="33"/>
      <c r="G47" s="33"/>
      <c r="H47" s="33"/>
      <c r="I47" s="33"/>
      <c r="J47" s="33"/>
      <c r="K47" s="33"/>
      <c r="L47" s="33"/>
      <c r="M47" s="264" t="str">
        <f>IF(Karakterlap!F40&lt;&gt;0,Karakterlap!F40,"")</f>
        <v/>
      </c>
      <c r="N47" s="264"/>
      <c r="O47" s="264"/>
      <c r="P47" s="264"/>
      <c r="Q47" s="264"/>
      <c r="R47" s="264" t="str">
        <f>IF(Karakterlap!G40&lt;&gt;0,Karakterlap!G40,"")</f>
        <v/>
      </c>
      <c r="S47" s="264"/>
      <c r="T47" s="264"/>
      <c r="U47" s="264"/>
      <c r="V47" s="264" t="str">
        <f>IF(Karakterlap!H40&lt;&gt;0,Karakterlap!H40,"")</f>
        <v/>
      </c>
      <c r="W47" s="264"/>
      <c r="X47" s="264"/>
      <c r="Y47" s="264"/>
      <c r="Z47" s="176" t="str">
        <f>IF(Karakterlap!I40&lt;&gt;0,Karakterlap!I40,"")</f>
        <v/>
      </c>
      <c r="AA47" s="33"/>
      <c r="AB47" s="33"/>
      <c r="AC47" s="33"/>
    </row>
    <row r="48" spans="1:29" ht="17.100000000000001" customHeight="1" x14ac:dyDescent="0.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row>
    <row r="49" spans="1:29" ht="17.100000000000001" customHeight="1" x14ac:dyDescent="0.25">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row>
    <row r="50" spans="1:29" ht="17.100000000000001" customHeight="1" x14ac:dyDescent="0.25">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row>
    <row r="51" spans="1:29" ht="17.100000000000001" customHeight="1" x14ac:dyDescent="0.25">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row>
    <row r="55" spans="1:29" ht="17.100000000000001" customHeight="1" x14ac:dyDescent="0.25">
      <c r="B55" s="181" t="s">
        <v>855</v>
      </c>
      <c r="C55" s="258" t="s">
        <v>803</v>
      </c>
      <c r="D55" s="259"/>
      <c r="E55" s="259"/>
      <c r="F55" s="259"/>
      <c r="G55" s="259"/>
      <c r="H55" s="259"/>
      <c r="I55" s="259"/>
      <c r="J55" s="259"/>
      <c r="K55" s="259"/>
      <c r="L55" s="259"/>
      <c r="M55" s="260"/>
      <c r="N55" s="258" t="s">
        <v>1220</v>
      </c>
      <c r="O55" s="259"/>
      <c r="P55" s="259"/>
      <c r="Q55" s="260"/>
      <c r="R55" s="258" t="s">
        <v>1425</v>
      </c>
      <c r="S55" s="260"/>
      <c r="T55" s="258" t="s">
        <v>1070</v>
      </c>
      <c r="U55" s="260"/>
      <c r="V55" s="258" t="s">
        <v>897</v>
      </c>
      <c r="W55" s="260"/>
      <c r="X55" s="258" t="s">
        <v>896</v>
      </c>
      <c r="Y55" s="259"/>
      <c r="Z55" s="260"/>
    </row>
    <row r="56" spans="1:29" ht="17.100000000000001" customHeight="1" x14ac:dyDescent="0.25">
      <c r="B56" s="175"/>
      <c r="C56" s="252" t="str">
        <f>Karakterlap!N2&amp;" "&amp;Karakterlap!O2</f>
        <v xml:space="preserve">Állatalak </v>
      </c>
      <c r="D56" s="253"/>
      <c r="E56" s="253"/>
      <c r="F56" s="253"/>
      <c r="G56" s="253"/>
      <c r="H56" s="253"/>
      <c r="I56" s="253"/>
      <c r="J56" s="253"/>
      <c r="K56" s="253"/>
      <c r="L56" s="253"/>
      <c r="M56" s="254"/>
      <c r="N56" s="255" t="str">
        <f>IFERROR(VLOOKUP(Karakterlap!R2,tul,2,0),"")</f>
        <v>Fiz</v>
      </c>
      <c r="O56" s="256"/>
      <c r="P56" s="257" t="str">
        <f>IFERROR(VLOOKUP(Karakterlap!S2,tul,2,0),"")</f>
        <v>Ügy</v>
      </c>
      <c r="Q56" s="256"/>
      <c r="R56" s="255" t="str">
        <f>IF(Karakterlap!V2&lt;&gt;"",Karakterlap!V2,"")</f>
        <v/>
      </c>
      <c r="S56" s="256"/>
      <c r="T56" s="255">
        <f>IF(Karakterlap!W2&lt;&gt;"",Karakterlap!W2,"")</f>
        <v>-10</v>
      </c>
      <c r="U56" s="256"/>
      <c r="V56" s="255">
        <f>IF(Karakterlap!X2&lt;&gt;"",Karakterlap!X2,"")</f>
        <v>0</v>
      </c>
      <c r="W56" s="256"/>
      <c r="X56" s="255" t="str">
        <f>IF(Karakterlap!Z2&lt;&gt;0,Karakterlap!Z2,"")</f>
        <v/>
      </c>
      <c r="Y56" s="257"/>
      <c r="Z56" s="256"/>
    </row>
    <row r="57" spans="1:29" ht="17.100000000000001" customHeight="1" x14ac:dyDescent="0.25">
      <c r="B57" s="175"/>
      <c r="C57" s="252" t="str">
        <f>Karakterlap!N3&amp;" "&amp;Karakterlap!O3</f>
        <v xml:space="preserve">Általános műveltség - </v>
      </c>
      <c r="D57" s="253"/>
      <c r="E57" s="253"/>
      <c r="F57" s="253"/>
      <c r="G57" s="253"/>
      <c r="H57" s="253"/>
      <c r="I57" s="253"/>
      <c r="J57" s="253"/>
      <c r="K57" s="253"/>
      <c r="L57" s="253"/>
      <c r="M57" s="254"/>
      <c r="N57" s="255" t="str">
        <f>IFERROR(VLOOKUP(Karakterlap!R3,tul,2,0),"")</f>
        <v>Int</v>
      </c>
      <c r="O57" s="256"/>
      <c r="P57" s="257" t="str">
        <f>IFERROR(VLOOKUP(Karakterlap!S3,tul,2,0),"")</f>
        <v>Int</v>
      </c>
      <c r="Q57" s="256"/>
      <c r="R57" s="255" t="str">
        <f>IF(Karakterlap!V3&lt;&gt;"",Karakterlap!V3,"")</f>
        <v/>
      </c>
      <c r="S57" s="256"/>
      <c r="T57" s="255">
        <f>IF(Karakterlap!W3&lt;&gt;"",Karakterlap!W3,"")</f>
        <v>-10</v>
      </c>
      <c r="U57" s="256"/>
      <c r="V57" s="255">
        <f>IF(Karakterlap!X3&lt;&gt;"",Karakterlap!X3,"")</f>
        <v>0</v>
      </c>
      <c r="W57" s="256"/>
      <c r="X57" s="255" t="str">
        <f>IF(Karakterlap!Z3&lt;&gt;0,Karakterlap!Z3,"")</f>
        <v/>
      </c>
      <c r="Y57" s="257"/>
      <c r="Z57" s="256"/>
    </row>
    <row r="58" spans="1:29" ht="17.100000000000001" customHeight="1" x14ac:dyDescent="0.25">
      <c r="B58" s="175"/>
      <c r="C58" s="252" t="str">
        <f>Karakterlap!N4&amp;" "&amp;Karakterlap!O4</f>
        <v xml:space="preserve">Általános műveltség - </v>
      </c>
      <c r="D58" s="253"/>
      <c r="E58" s="253"/>
      <c r="F58" s="253"/>
      <c r="G58" s="253"/>
      <c r="H58" s="253"/>
      <c r="I58" s="253"/>
      <c r="J58" s="253"/>
      <c r="K58" s="253"/>
      <c r="L58" s="253"/>
      <c r="M58" s="254"/>
      <c r="N58" s="255" t="str">
        <f>IFERROR(VLOOKUP(Karakterlap!R4,tul,2,0),"")</f>
        <v>Int</v>
      </c>
      <c r="O58" s="256"/>
      <c r="P58" s="257" t="str">
        <f>IFERROR(VLOOKUP(Karakterlap!S4,tul,2,0),"")</f>
        <v>Int</v>
      </c>
      <c r="Q58" s="256"/>
      <c r="R58" s="255" t="str">
        <f>IF(Karakterlap!V4&lt;&gt;"",Karakterlap!V4,"")</f>
        <v/>
      </c>
      <c r="S58" s="256"/>
      <c r="T58" s="255">
        <f>IF(Karakterlap!W4&lt;&gt;"",Karakterlap!W4,"")</f>
        <v>-10</v>
      </c>
      <c r="U58" s="256"/>
      <c r="V58" s="255">
        <f>IF(Karakterlap!X4&lt;&gt;"",Karakterlap!X4,"")</f>
        <v>0</v>
      </c>
      <c r="W58" s="256"/>
      <c r="X58" s="255" t="str">
        <f>IF(Karakterlap!Z4&lt;&gt;0,Karakterlap!Z4,"")</f>
        <v/>
      </c>
      <c r="Y58" s="257"/>
      <c r="Z58" s="256"/>
    </row>
    <row r="59" spans="1:29" ht="17.100000000000001" customHeight="1" x14ac:dyDescent="0.25">
      <c r="B59" s="175"/>
      <c r="C59" s="252" t="str">
        <f>Karakterlap!N5&amp;" "&amp;Karakterlap!O5</f>
        <v xml:space="preserve">Barkácsolás </v>
      </c>
      <c r="D59" s="253"/>
      <c r="E59" s="253"/>
      <c r="F59" s="253"/>
      <c r="G59" s="253"/>
      <c r="H59" s="253"/>
      <c r="I59" s="253"/>
      <c r="J59" s="253"/>
      <c r="K59" s="253"/>
      <c r="L59" s="253"/>
      <c r="M59" s="254"/>
      <c r="N59" s="255" t="str">
        <f>IFERROR(VLOOKUP(Karakterlap!R5,tul,2,0),"")</f>
        <v>Int</v>
      </c>
      <c r="O59" s="256"/>
      <c r="P59" s="257" t="str">
        <f>IFERROR(VLOOKUP(Karakterlap!S5,tul,2,0),"")</f>
        <v>Ügy</v>
      </c>
      <c r="Q59" s="256"/>
      <c r="R59" s="255" t="str">
        <f>IF(Karakterlap!V5&lt;&gt;"",Karakterlap!V5,"")</f>
        <v/>
      </c>
      <c r="S59" s="256"/>
      <c r="T59" s="255">
        <f>IF(Karakterlap!W5&lt;&gt;"",Karakterlap!W5,"")</f>
        <v>-10</v>
      </c>
      <c r="U59" s="256"/>
      <c r="V59" s="255">
        <f>IF(Karakterlap!X5&lt;&gt;"",Karakterlap!X5,"")</f>
        <v>0</v>
      </c>
      <c r="W59" s="256"/>
      <c r="X59" s="255" t="str">
        <f>IF(Karakterlap!Z5&lt;&gt;0,Karakterlap!Z5,"")</f>
        <v/>
      </c>
      <c r="Y59" s="257"/>
      <c r="Z59" s="256"/>
    </row>
    <row r="60" spans="1:29" ht="17.100000000000001" customHeight="1" x14ac:dyDescent="0.25">
      <c r="B60" s="175"/>
      <c r="C60" s="252" t="str">
        <f>Karakterlap!N6&amp;" "&amp;Karakterlap!O6</f>
        <v xml:space="preserve">Felismerés </v>
      </c>
      <c r="D60" s="253"/>
      <c r="E60" s="253"/>
      <c r="F60" s="253"/>
      <c r="G60" s="253"/>
      <c r="H60" s="253"/>
      <c r="I60" s="253"/>
      <c r="J60" s="253"/>
      <c r="K60" s="253"/>
      <c r="L60" s="253"/>
      <c r="M60" s="254"/>
      <c r="N60" s="255" t="str">
        <f>IFERROR(VLOOKUP(Karakterlap!R6,tul,2,0),"")</f>
        <v>Int</v>
      </c>
      <c r="O60" s="256"/>
      <c r="P60" s="257" t="str">
        <f>IFERROR(VLOOKUP(Karakterlap!S6,tul,2,0),"")</f>
        <v>Észl</v>
      </c>
      <c r="Q60" s="256"/>
      <c r="R60" s="255" t="str">
        <f>IF(Karakterlap!V6&lt;&gt;"",Karakterlap!V6,"")</f>
        <v/>
      </c>
      <c r="S60" s="256"/>
      <c r="T60" s="255">
        <f>IF(Karakterlap!W6&lt;&gt;"",Karakterlap!W6,"")</f>
        <v>-10</v>
      </c>
      <c r="U60" s="256"/>
      <c r="V60" s="255">
        <f>IF(Karakterlap!X6&lt;&gt;"",Karakterlap!X6,"")</f>
        <v>0</v>
      </c>
      <c r="W60" s="256"/>
      <c r="X60" s="255" t="str">
        <f>IF(Karakterlap!Z6&lt;&gt;0,Karakterlap!Z6,"")</f>
        <v/>
      </c>
      <c r="Y60" s="257"/>
      <c r="Z60" s="256"/>
    </row>
    <row r="61" spans="1:29" ht="17.100000000000001" customHeight="1" x14ac:dyDescent="0.25">
      <c r="B61" s="175"/>
      <c r="C61" s="252" t="str">
        <f>Karakterlap!N7&amp;" "&amp;Karakterlap!O7</f>
        <v xml:space="preserve">Háztartástan </v>
      </c>
      <c r="D61" s="253"/>
      <c r="E61" s="253"/>
      <c r="F61" s="253"/>
      <c r="G61" s="253"/>
      <c r="H61" s="253"/>
      <c r="I61" s="253"/>
      <c r="J61" s="253"/>
      <c r="K61" s="253"/>
      <c r="L61" s="253"/>
      <c r="M61" s="254"/>
      <c r="N61" s="255" t="str">
        <f>IFERROR(VLOOKUP(Karakterlap!R7,tul,2,0),"")</f>
        <v>Int</v>
      </c>
      <c r="O61" s="256"/>
      <c r="P61" s="257" t="str">
        <f>IFERROR(VLOOKUP(Karakterlap!S7,tul,2,0),"")</f>
        <v>Ügy</v>
      </c>
      <c r="Q61" s="256"/>
      <c r="R61" s="255" t="str">
        <f>IF(Karakterlap!V7&lt;&gt;"",Karakterlap!V7,"")</f>
        <v/>
      </c>
      <c r="S61" s="256"/>
      <c r="T61" s="255">
        <f>IF(Karakterlap!W7&lt;&gt;"",Karakterlap!W7,"")</f>
        <v>-10</v>
      </c>
      <c r="U61" s="256"/>
      <c r="V61" s="255">
        <f>IF(Karakterlap!X7&lt;&gt;"",Karakterlap!X7,"")</f>
        <v>0</v>
      </c>
      <c r="W61" s="256"/>
      <c r="X61" s="255" t="str">
        <f>IF(Karakterlap!Z7&lt;&gt;0,Karakterlap!Z7,"")</f>
        <v/>
      </c>
      <c r="Y61" s="257"/>
      <c r="Z61" s="256"/>
    </row>
    <row r="62" spans="1:29" ht="17.100000000000001" customHeight="1" x14ac:dyDescent="0.25">
      <c r="B62" s="175"/>
      <c r="C62" s="252" t="str">
        <f>Karakterlap!N8&amp;" "&amp;Karakterlap!O8</f>
        <v xml:space="preserve">Járművezetés - </v>
      </c>
      <c r="D62" s="253"/>
      <c r="E62" s="253"/>
      <c r="F62" s="253"/>
      <c r="G62" s="253"/>
      <c r="H62" s="253"/>
      <c r="I62" s="253"/>
      <c r="J62" s="253"/>
      <c r="K62" s="253"/>
      <c r="L62" s="253"/>
      <c r="M62" s="254"/>
      <c r="N62" s="255" t="str">
        <f>IFERROR(VLOOKUP(Karakterlap!R8,tul,2,0),"")</f>
        <v>Int</v>
      </c>
      <c r="O62" s="256"/>
      <c r="P62" s="257" t="str">
        <f>IFERROR(VLOOKUP(Karakterlap!S8,tul,2,0),"")</f>
        <v>Ügy</v>
      </c>
      <c r="Q62" s="256"/>
      <c r="R62" s="255" t="str">
        <f>IF(Karakterlap!V8&lt;&gt;"",Karakterlap!V8,"")</f>
        <v/>
      </c>
      <c r="S62" s="256"/>
      <c r="T62" s="255">
        <f>IF(Karakterlap!W8&lt;&gt;"",Karakterlap!W8,"")</f>
        <v>-10</v>
      </c>
      <c r="U62" s="256"/>
      <c r="V62" s="255">
        <f>IF(Karakterlap!X8&lt;&gt;"",Karakterlap!X8,"")</f>
        <v>0</v>
      </c>
      <c r="W62" s="256"/>
      <c r="X62" s="255" t="str">
        <f>IF(Karakterlap!Z8&lt;&gt;0,Karakterlap!Z8,"")</f>
        <v/>
      </c>
      <c r="Y62" s="257"/>
      <c r="Z62" s="256"/>
    </row>
    <row r="63" spans="1:29" ht="17.100000000000001" customHeight="1" x14ac:dyDescent="0.25">
      <c r="B63" s="175"/>
      <c r="C63" s="252" t="str">
        <f>Karakterlap!N9&amp;" "&amp;Karakterlap!O9</f>
        <v xml:space="preserve">Játék - </v>
      </c>
      <c r="D63" s="253"/>
      <c r="E63" s="253"/>
      <c r="F63" s="253"/>
      <c r="G63" s="253"/>
      <c r="H63" s="253"/>
      <c r="I63" s="253"/>
      <c r="J63" s="253"/>
      <c r="K63" s="253"/>
      <c r="L63" s="253"/>
      <c r="M63" s="254"/>
      <c r="N63" s="255" t="str">
        <f>IFERROR(VLOOKUP(Karakterlap!R9,tul,2,0),"")</f>
        <v>Int</v>
      </c>
      <c r="O63" s="256"/>
      <c r="P63" s="257" t="str">
        <f>IFERROR(VLOOKUP(Karakterlap!S9,tul,2,0),"")</f>
        <v>Ügy</v>
      </c>
      <c r="Q63" s="256"/>
      <c r="R63" s="255" t="str">
        <f>IF(Karakterlap!V9&lt;&gt;"",Karakterlap!V9,"")</f>
        <v/>
      </c>
      <c r="S63" s="256"/>
      <c r="T63" s="255">
        <f>IF(Karakterlap!W9&lt;&gt;"",Karakterlap!W9,"")</f>
        <v>-10</v>
      </c>
      <c r="U63" s="256"/>
      <c r="V63" s="255">
        <f>IF(Karakterlap!X9&lt;&gt;"",Karakterlap!X9,"")</f>
        <v>0</v>
      </c>
      <c r="W63" s="256"/>
      <c r="X63" s="255" t="str">
        <f>IF(Karakterlap!Z9&lt;&gt;0,Karakterlap!Z9,"")</f>
        <v/>
      </c>
      <c r="Y63" s="257"/>
      <c r="Z63" s="256"/>
    </row>
    <row r="64" spans="1:29" ht="17.100000000000001" customHeight="1" x14ac:dyDescent="0.25">
      <c r="B64" s="175"/>
      <c r="C64" s="252" t="str">
        <f>Karakterlap!N10&amp;" "&amp;Karakterlap!O10</f>
        <v xml:space="preserve">Kereskedelem </v>
      </c>
      <c r="D64" s="253"/>
      <c r="E64" s="253"/>
      <c r="F64" s="253"/>
      <c r="G64" s="253"/>
      <c r="H64" s="253"/>
      <c r="I64" s="253"/>
      <c r="J64" s="253"/>
      <c r="K64" s="253"/>
      <c r="L64" s="253"/>
      <c r="M64" s="254"/>
      <c r="N64" s="255" t="str">
        <f>IFERROR(VLOOKUP(Karakterlap!R10,tul,2,0),"")</f>
        <v>Int</v>
      </c>
      <c r="O64" s="256"/>
      <c r="P64" s="257" t="str">
        <f>IFERROR(VLOOKUP(Karakterlap!S10,tul,2,0),"")</f>
        <v>Aka</v>
      </c>
      <c r="Q64" s="256"/>
      <c r="R64" s="255" t="str">
        <f>IF(Karakterlap!V10&lt;&gt;"",Karakterlap!V10,"")</f>
        <v/>
      </c>
      <c r="S64" s="256"/>
      <c r="T64" s="255">
        <f>IF(Karakterlap!W10&lt;&gt;"",Karakterlap!W10,"")</f>
        <v>-10</v>
      </c>
      <c r="U64" s="256"/>
      <c r="V64" s="255">
        <f>IF(Karakterlap!X10&lt;&gt;"",Karakterlap!X10,"")</f>
        <v>0</v>
      </c>
      <c r="W64" s="256"/>
      <c r="X64" s="255" t="str">
        <f>IF(Karakterlap!Z10&lt;&gt;0,Karakterlap!Z10,"")</f>
        <v/>
      </c>
      <c r="Y64" s="257"/>
      <c r="Z64" s="256"/>
    </row>
    <row r="65" spans="2:26" ht="17.100000000000001" customHeight="1" x14ac:dyDescent="0.25">
      <c r="B65" s="175"/>
      <c r="C65" s="252" t="str">
        <f>Karakterlap!N11&amp;" "&amp;Karakterlap!O11</f>
        <v xml:space="preserve">Könyvtárhasználat </v>
      </c>
      <c r="D65" s="253"/>
      <c r="E65" s="253"/>
      <c r="F65" s="253"/>
      <c r="G65" s="253"/>
      <c r="H65" s="253"/>
      <c r="I65" s="253"/>
      <c r="J65" s="253"/>
      <c r="K65" s="253"/>
      <c r="L65" s="253"/>
      <c r="M65" s="254"/>
      <c r="N65" s="255" t="str">
        <f>IFERROR(VLOOKUP(Karakterlap!R11,tul,2,0),"")</f>
        <v>Int</v>
      </c>
      <c r="O65" s="256"/>
      <c r="P65" s="257" t="str">
        <f>IFERROR(VLOOKUP(Karakterlap!S11,tul,2,0),"")</f>
        <v>Észl</v>
      </c>
      <c r="Q65" s="256"/>
      <c r="R65" s="255" t="str">
        <f>IF(Karakterlap!V11&lt;&gt;"",Karakterlap!V11,"")</f>
        <v/>
      </c>
      <c r="S65" s="256"/>
      <c r="T65" s="255">
        <f>IF(Karakterlap!W11&lt;&gt;"",Karakterlap!W11,"")</f>
        <v>-10</v>
      </c>
      <c r="U65" s="256"/>
      <c r="V65" s="255">
        <f>IF(Karakterlap!X11&lt;&gt;"",Karakterlap!X11,"")</f>
        <v>0</v>
      </c>
      <c r="W65" s="256"/>
      <c r="X65" s="255" t="str">
        <f>IF(Karakterlap!Z11&lt;&gt;0,Karakterlap!Z11,"")</f>
        <v/>
      </c>
      <c r="Y65" s="257"/>
      <c r="Z65" s="256"/>
    </row>
    <row r="66" spans="2:26" ht="17.100000000000001" customHeight="1" x14ac:dyDescent="0.25">
      <c r="B66" s="175"/>
      <c r="C66" s="252" t="str">
        <f>Karakterlap!N12&amp;" "&amp;Karakterlap!O12</f>
        <v xml:space="preserve">Megjelenés/Smink </v>
      </c>
      <c r="D66" s="253"/>
      <c r="E66" s="253"/>
      <c r="F66" s="253"/>
      <c r="G66" s="253"/>
      <c r="H66" s="253"/>
      <c r="I66" s="253"/>
      <c r="J66" s="253"/>
      <c r="K66" s="253"/>
      <c r="L66" s="253"/>
      <c r="M66" s="254"/>
      <c r="N66" s="255" t="str">
        <f>IFERROR(VLOOKUP(Karakterlap!R12,tul,2,0),"")</f>
        <v>Int</v>
      </c>
      <c r="O66" s="256"/>
      <c r="P66" s="257" t="str">
        <f>IFERROR(VLOOKUP(Karakterlap!S12,tul,2,0),"")</f>
        <v>Ügy</v>
      </c>
      <c r="Q66" s="256"/>
      <c r="R66" s="255" t="str">
        <f>IF(Karakterlap!V12&lt;&gt;"",Karakterlap!V12,"")</f>
        <v/>
      </c>
      <c r="S66" s="256"/>
      <c r="T66" s="255">
        <f>IF(Karakterlap!W12&lt;&gt;"",Karakterlap!W12,"")</f>
        <v>-10</v>
      </c>
      <c r="U66" s="256"/>
      <c r="V66" s="255">
        <f>IF(Karakterlap!X12&lt;&gt;"",Karakterlap!X12,"")</f>
        <v>0</v>
      </c>
      <c r="W66" s="256"/>
      <c r="X66" s="255" t="str">
        <f>IF(Karakterlap!Z12&lt;&gt;0,Karakterlap!Z12,"")</f>
        <v/>
      </c>
      <c r="Y66" s="257"/>
      <c r="Z66" s="256"/>
    </row>
    <row r="67" spans="2:26" ht="17.100000000000001" customHeight="1" x14ac:dyDescent="0.25">
      <c r="B67" s="175"/>
      <c r="C67" s="252" t="str">
        <f>Karakterlap!N13&amp;" "&amp;Karakterlap!O13</f>
        <v xml:space="preserve">Sport - </v>
      </c>
      <c r="D67" s="253"/>
      <c r="E67" s="253"/>
      <c r="F67" s="253"/>
      <c r="G67" s="253"/>
      <c r="H67" s="253"/>
      <c r="I67" s="253"/>
      <c r="J67" s="253"/>
      <c r="K67" s="253"/>
      <c r="L67" s="253"/>
      <c r="M67" s="254"/>
      <c r="N67" s="255" t="str">
        <f>IFERROR(VLOOKUP(Karakterlap!R13,tul,2,0),"")</f>
        <v>Fiz</v>
      </c>
      <c r="O67" s="256"/>
      <c r="P67" s="257" t="str">
        <f>IFERROR(VLOOKUP(Karakterlap!S13,tul,2,0),"")</f>
        <v>Ügy</v>
      </c>
      <c r="Q67" s="256"/>
      <c r="R67" s="255" t="str">
        <f>IF(Karakterlap!V13&lt;&gt;"",Karakterlap!V13,"")</f>
        <v/>
      </c>
      <c r="S67" s="256"/>
      <c r="T67" s="255">
        <f>IF(Karakterlap!W13&lt;&gt;"",Karakterlap!W13,"")</f>
        <v>-10</v>
      </c>
      <c r="U67" s="256"/>
      <c r="V67" s="255">
        <f>IF(Karakterlap!X13&lt;&gt;"",Karakterlap!X13,"")</f>
        <v>0</v>
      </c>
      <c r="W67" s="256"/>
      <c r="X67" s="255" t="str">
        <f>IF(Karakterlap!Z13&lt;&gt;0,Karakterlap!Z13,"")</f>
        <v/>
      </c>
      <c r="Y67" s="257"/>
      <c r="Z67" s="256"/>
    </row>
    <row r="68" spans="2:26" ht="17.100000000000001" customHeight="1" x14ac:dyDescent="0.25">
      <c r="B68" s="175"/>
      <c r="C68" s="252" t="str">
        <f>Karakterlap!N14&amp;" "&amp;Karakterlap!O14</f>
        <v xml:space="preserve">Szexuális kultúra </v>
      </c>
      <c r="D68" s="253"/>
      <c r="E68" s="253"/>
      <c r="F68" s="253"/>
      <c r="G68" s="253"/>
      <c r="H68" s="253"/>
      <c r="I68" s="253"/>
      <c r="J68" s="253"/>
      <c r="K68" s="253"/>
      <c r="L68" s="253"/>
      <c r="M68" s="254"/>
      <c r="N68" s="255" t="str">
        <f>IFERROR(VLOOKUP(Karakterlap!R14,tul,2,0),"")</f>
        <v>Int</v>
      </c>
      <c r="O68" s="256"/>
      <c r="P68" s="257" t="str">
        <f>IFERROR(VLOOKUP(Karakterlap!S14,tul,2,0),"")</f>
        <v>Ügy</v>
      </c>
      <c r="Q68" s="256"/>
      <c r="R68" s="255" t="str">
        <f>IF(Karakterlap!V14&lt;&gt;"",Karakterlap!V14,"")</f>
        <v/>
      </c>
      <c r="S68" s="256"/>
      <c r="T68" s="255">
        <f>IF(Karakterlap!W14&lt;&gt;"",Karakterlap!W14,"")</f>
        <v>-10</v>
      </c>
      <c r="U68" s="256"/>
      <c r="V68" s="255">
        <f>IF(Karakterlap!X14&lt;&gt;"",Karakterlap!X14,"")</f>
        <v>0</v>
      </c>
      <c r="W68" s="256"/>
      <c r="X68" s="255" t="str">
        <f>IF(Karakterlap!Z14&lt;&gt;0,Karakterlap!Z14,"")</f>
        <v/>
      </c>
      <c r="Y68" s="257"/>
      <c r="Z68" s="256"/>
    </row>
    <row r="69" spans="2:26" ht="17.100000000000001" customHeight="1" x14ac:dyDescent="0.25">
      <c r="B69" s="175"/>
      <c r="C69" s="252" t="str">
        <f>Karakterlap!N15&amp;" "&amp;Karakterlap!O15</f>
        <v xml:space="preserve">Tájékozódás </v>
      </c>
      <c r="D69" s="253"/>
      <c r="E69" s="253"/>
      <c r="F69" s="253"/>
      <c r="G69" s="253"/>
      <c r="H69" s="253"/>
      <c r="I69" s="253"/>
      <c r="J69" s="253"/>
      <c r="K69" s="253"/>
      <c r="L69" s="253"/>
      <c r="M69" s="254"/>
      <c r="N69" s="255" t="str">
        <f>IFERROR(VLOOKUP(Karakterlap!R15,tul,2,0),"")</f>
        <v>Int</v>
      </c>
      <c r="O69" s="256"/>
      <c r="P69" s="257" t="str">
        <f>IFERROR(VLOOKUP(Karakterlap!S15,tul,2,0),"")</f>
        <v>Észl</v>
      </c>
      <c r="Q69" s="256"/>
      <c r="R69" s="255" t="str">
        <f>IF(Karakterlap!V15&lt;&gt;"",Karakterlap!V15,"")</f>
        <v/>
      </c>
      <c r="S69" s="256"/>
      <c r="T69" s="255">
        <f>IF(Karakterlap!W15&lt;&gt;"",Karakterlap!W15,"")</f>
        <v>-10</v>
      </c>
      <c r="U69" s="256"/>
      <c r="V69" s="255">
        <f>IF(Karakterlap!X15&lt;&gt;"",Karakterlap!X15,"")</f>
        <v>0</v>
      </c>
      <c r="W69" s="256"/>
      <c r="X69" s="255" t="str">
        <f>IF(Karakterlap!Z15&lt;&gt;0,Karakterlap!Z15,"")</f>
        <v/>
      </c>
      <c r="Y69" s="257"/>
      <c r="Z69" s="256"/>
    </row>
    <row r="70" spans="2:26" ht="17.100000000000001" customHeight="1" x14ac:dyDescent="0.25">
      <c r="B70" s="175"/>
      <c r="C70" s="252" t="str">
        <f>Karakterlap!N16&amp;" "&amp;Karakterlap!O16</f>
        <v xml:space="preserve">Etikett </v>
      </c>
      <c r="D70" s="253"/>
      <c r="E70" s="253"/>
      <c r="F70" s="253"/>
      <c r="G70" s="253"/>
      <c r="H70" s="253"/>
      <c r="I70" s="253"/>
      <c r="J70" s="253"/>
      <c r="K70" s="253"/>
      <c r="L70" s="253"/>
      <c r="M70" s="254"/>
      <c r="N70" s="255" t="str">
        <f>IFERROR(VLOOKUP(Karakterlap!R16,tul,2,0),"")</f>
        <v>Int</v>
      </c>
      <c r="O70" s="256"/>
      <c r="P70" s="257" t="str">
        <f>IFERROR(VLOOKUP(Karakterlap!S16,tul,2,0),"")</f>
        <v>Ügy</v>
      </c>
      <c r="Q70" s="256"/>
      <c r="R70" s="255" t="str">
        <f>IF(Karakterlap!V16&lt;&gt;"",Karakterlap!V16,"")</f>
        <v/>
      </c>
      <c r="S70" s="256"/>
      <c r="T70" s="255">
        <f>IF(Karakterlap!W16&lt;&gt;"",Karakterlap!W16,"")</f>
        <v>-10</v>
      </c>
      <c r="U70" s="256"/>
      <c r="V70" s="255">
        <f>IF(Karakterlap!X16&lt;&gt;"",Karakterlap!X16,"")</f>
        <v>0</v>
      </c>
      <c r="W70" s="256"/>
      <c r="X70" s="255" t="str">
        <f>IF(Karakterlap!Z16&lt;&gt;0,Karakterlap!Z16,"")</f>
        <v/>
      </c>
      <c r="Y70" s="257"/>
      <c r="Z70" s="256"/>
    </row>
    <row r="71" spans="2:26" ht="17.100000000000001" customHeight="1" x14ac:dyDescent="0.25">
      <c r="B71" s="175"/>
      <c r="C71" s="252" t="str">
        <f>Karakterlap!N17&amp;" "&amp;Karakterlap!O17</f>
        <v xml:space="preserve">Képzőművészet - </v>
      </c>
      <c r="D71" s="253"/>
      <c r="E71" s="253"/>
      <c r="F71" s="253"/>
      <c r="G71" s="253"/>
      <c r="H71" s="253"/>
      <c r="I71" s="253"/>
      <c r="J71" s="253"/>
      <c r="K71" s="253"/>
      <c r="L71" s="253"/>
      <c r="M71" s="254"/>
      <c r="N71" s="255" t="str">
        <f>IFERROR(VLOOKUP(Karakterlap!R17,tul,2,0),"")</f>
        <v>Észl</v>
      </c>
      <c r="O71" s="256"/>
      <c r="P71" s="257" t="str">
        <f>IFERROR(VLOOKUP(Karakterlap!S17,tul,2,0),"")</f>
        <v>Ügy</v>
      </c>
      <c r="Q71" s="256"/>
      <c r="R71" s="255" t="str">
        <f>IF(Karakterlap!V17&lt;&gt;"",Karakterlap!V17,"")</f>
        <v/>
      </c>
      <c r="S71" s="256"/>
      <c r="T71" s="255">
        <f>IF(Karakterlap!W17&lt;&gt;"",Karakterlap!W17,"")</f>
        <v>-10</v>
      </c>
      <c r="U71" s="256"/>
      <c r="V71" s="255">
        <f>IF(Karakterlap!X17&lt;&gt;"",Karakterlap!X17,"")</f>
        <v>0</v>
      </c>
      <c r="W71" s="256"/>
      <c r="X71" s="255" t="str">
        <f>IF(Karakterlap!Z17&lt;&gt;0,Karakterlap!Z17,"")</f>
        <v/>
      </c>
      <c r="Y71" s="257"/>
      <c r="Z71" s="256"/>
    </row>
    <row r="72" spans="2:26" ht="17.100000000000001" customHeight="1" x14ac:dyDescent="0.25">
      <c r="B72" s="175"/>
      <c r="C72" s="252" t="str">
        <f>Karakterlap!N18&amp;" "&amp;Karakterlap!O18</f>
        <v xml:space="preserve">Kreatív írás </v>
      </c>
      <c r="D72" s="253"/>
      <c r="E72" s="253"/>
      <c r="F72" s="253"/>
      <c r="G72" s="253"/>
      <c r="H72" s="253"/>
      <c r="I72" s="253"/>
      <c r="J72" s="253"/>
      <c r="K72" s="253"/>
      <c r="L72" s="253"/>
      <c r="M72" s="254"/>
      <c r="N72" s="255" t="str">
        <f>IFERROR(VLOOKUP(Karakterlap!R18,tul,2,0),"")</f>
        <v>Int</v>
      </c>
      <c r="O72" s="256"/>
      <c r="P72" s="257" t="str">
        <f>IFERROR(VLOOKUP(Karakterlap!S18,tul,2,0),"")</f>
        <v>Aka</v>
      </c>
      <c r="Q72" s="256"/>
      <c r="R72" s="255" t="str">
        <f>IF(Karakterlap!V18&lt;&gt;"",Karakterlap!V18,"")</f>
        <v/>
      </c>
      <c r="S72" s="256"/>
      <c r="T72" s="255">
        <f>IF(Karakterlap!W18&lt;&gt;"",Karakterlap!W18,"")</f>
        <v>-10</v>
      </c>
      <c r="U72" s="256"/>
      <c r="V72" s="255">
        <f>IF(Karakterlap!X18&lt;&gt;"",Karakterlap!X18,"")</f>
        <v>0</v>
      </c>
      <c r="W72" s="256"/>
      <c r="X72" s="255" t="str">
        <f>IF(Karakterlap!Z18&lt;&gt;0,Karakterlap!Z18,"")</f>
        <v/>
      </c>
      <c r="Y72" s="257"/>
      <c r="Z72" s="256"/>
    </row>
    <row r="73" spans="2:26" ht="17.100000000000001" customHeight="1" x14ac:dyDescent="0.25">
      <c r="B73" s="175"/>
      <c r="C73" s="252" t="str">
        <f>Karakterlap!N19&amp;" "&amp;Karakterlap!O19</f>
        <v xml:space="preserve">Csábítás </v>
      </c>
      <c r="D73" s="253"/>
      <c r="E73" s="253"/>
      <c r="F73" s="253"/>
      <c r="G73" s="253"/>
      <c r="H73" s="253"/>
      <c r="I73" s="253"/>
      <c r="J73" s="253"/>
      <c r="K73" s="253"/>
      <c r="L73" s="253"/>
      <c r="M73" s="254"/>
      <c r="N73" s="255" t="str">
        <f>IFERROR(VLOOKUP(Karakterlap!R19,tul,2,0),"")</f>
        <v>Int</v>
      </c>
      <c r="O73" s="256"/>
      <c r="P73" s="257" t="str">
        <f>IFERROR(VLOOKUP(Karakterlap!S19,tul,2,0),"")</f>
        <v>Megj</v>
      </c>
      <c r="Q73" s="256"/>
      <c r="R73" s="255" t="str">
        <f>IF(Karakterlap!V19&lt;&gt;"",Karakterlap!V19,"")</f>
        <v/>
      </c>
      <c r="S73" s="256"/>
      <c r="T73" s="255">
        <f>IF(Karakterlap!W19&lt;&gt;"",Karakterlap!W19,"")</f>
        <v>-10</v>
      </c>
      <c r="U73" s="256"/>
      <c r="V73" s="255">
        <f>IF(Karakterlap!X19&lt;&gt;"",Karakterlap!X19,"")</f>
        <v>0</v>
      </c>
      <c r="W73" s="256"/>
      <c r="X73" s="255" t="str">
        <f>IF(Karakterlap!Z19&lt;&gt;0,Karakterlap!Z19,"")</f>
        <v/>
      </c>
      <c r="Y73" s="257"/>
      <c r="Z73" s="256"/>
    </row>
    <row r="74" spans="2:26" ht="17.100000000000001" customHeight="1" x14ac:dyDescent="0.25">
      <c r="B74" s="175"/>
      <c r="C74" s="252" t="str">
        <f>Karakterlap!N20&amp;" "&amp;Karakterlap!O20</f>
        <v xml:space="preserve">Előadóművészet - </v>
      </c>
      <c r="D74" s="253"/>
      <c r="E74" s="253"/>
      <c r="F74" s="253"/>
      <c r="G74" s="253"/>
      <c r="H74" s="253"/>
      <c r="I74" s="253"/>
      <c r="J74" s="253"/>
      <c r="K74" s="253"/>
      <c r="L74" s="253"/>
      <c r="M74" s="254"/>
      <c r="N74" s="255" t="str">
        <f>IFERROR(VLOOKUP(Karakterlap!R20,tul,2,0),"")</f>
        <v>Int</v>
      </c>
      <c r="O74" s="256"/>
      <c r="P74" s="257" t="str">
        <f>IFERROR(VLOOKUP(Karakterlap!S20,tul,2,0),"")</f>
        <v>Megj</v>
      </c>
      <c r="Q74" s="256"/>
      <c r="R74" s="255" t="str">
        <f>IF(Karakterlap!V20&lt;&gt;"",Karakterlap!V20,"")</f>
        <v/>
      </c>
      <c r="S74" s="256"/>
      <c r="T74" s="255">
        <f>IF(Karakterlap!W20&lt;&gt;"",Karakterlap!W20,"")</f>
        <v>-10</v>
      </c>
      <c r="U74" s="256"/>
      <c r="V74" s="255">
        <f>IF(Karakterlap!X20&lt;&gt;"",Karakterlap!X20,"")</f>
        <v>0</v>
      </c>
      <c r="W74" s="256"/>
      <c r="X74" s="255" t="str">
        <f>IF(Karakterlap!Z20&lt;&gt;0,Karakterlap!Z20,"")</f>
        <v/>
      </c>
      <c r="Y74" s="257"/>
      <c r="Z74" s="256"/>
    </row>
    <row r="75" spans="2:26" ht="17.100000000000001" customHeight="1" x14ac:dyDescent="0.25">
      <c r="B75" s="175"/>
      <c r="C75" s="252" t="str">
        <f>Karakterlap!N21&amp;" "&amp;Karakterlap!O21</f>
        <v xml:space="preserve">Színészet </v>
      </c>
      <c r="D75" s="253"/>
      <c r="E75" s="253"/>
      <c r="F75" s="253"/>
      <c r="G75" s="253"/>
      <c r="H75" s="253"/>
      <c r="I75" s="253"/>
      <c r="J75" s="253"/>
      <c r="K75" s="253"/>
      <c r="L75" s="253"/>
      <c r="M75" s="254"/>
      <c r="N75" s="255" t="str">
        <f>IFERROR(VLOOKUP(Karakterlap!R21,tul,2,0),"")</f>
        <v>Int</v>
      </c>
      <c r="O75" s="256"/>
      <c r="P75" s="257" t="str">
        <f>IFERROR(VLOOKUP(Karakterlap!S21,tul,2,0),"")</f>
        <v>Ügy</v>
      </c>
      <c r="Q75" s="256"/>
      <c r="R75" s="255" t="str">
        <f>IF(Karakterlap!V21&lt;&gt;"",Karakterlap!V21,"")</f>
        <v/>
      </c>
      <c r="S75" s="256"/>
      <c r="T75" s="255">
        <f>IF(Karakterlap!W21&lt;&gt;"",Karakterlap!W21,"")</f>
        <v>-10</v>
      </c>
      <c r="U75" s="256"/>
      <c r="V75" s="255">
        <f>IF(Karakterlap!X21&lt;&gt;"",Karakterlap!X21,"")</f>
        <v>0</v>
      </c>
      <c r="W75" s="256"/>
      <c r="X75" s="255" t="str">
        <f>IF(Karakterlap!Z21&lt;&gt;0,Karakterlap!Z21,"")</f>
        <v/>
      </c>
      <c r="Y75" s="257"/>
      <c r="Z75" s="256"/>
    </row>
    <row r="76" spans="2:26" ht="17.100000000000001" customHeight="1" x14ac:dyDescent="0.25">
      <c r="B76" s="175"/>
      <c r="C76" s="252" t="str">
        <f>Karakterlap!N22&amp;" "&amp;Karakterlap!O22</f>
        <v xml:space="preserve">Szónoklás </v>
      </c>
      <c r="D76" s="253"/>
      <c r="E76" s="253"/>
      <c r="F76" s="253"/>
      <c r="G76" s="253"/>
      <c r="H76" s="253"/>
      <c r="I76" s="253"/>
      <c r="J76" s="253"/>
      <c r="K76" s="253"/>
      <c r="L76" s="253"/>
      <c r="M76" s="254"/>
      <c r="N76" s="255" t="str">
        <f>IFERROR(VLOOKUP(Karakterlap!R22,tul,2,0),"")</f>
        <v>Int</v>
      </c>
      <c r="O76" s="256"/>
      <c r="P76" s="257" t="str">
        <f>IFERROR(VLOOKUP(Karakterlap!S22,tul,2,0),"")</f>
        <v>Megj</v>
      </c>
      <c r="Q76" s="256"/>
      <c r="R76" s="255" t="str">
        <f>IF(Karakterlap!V22&lt;&gt;"",Karakterlap!V22,"")</f>
        <v/>
      </c>
      <c r="S76" s="256"/>
      <c r="T76" s="255">
        <f>IF(Karakterlap!W22&lt;&gt;"",Karakterlap!W22,"")</f>
        <v>-10</v>
      </c>
      <c r="U76" s="256"/>
      <c r="V76" s="255">
        <f>IF(Karakterlap!X22&lt;&gt;"",Karakterlap!X22,"")</f>
        <v>0</v>
      </c>
      <c r="W76" s="256"/>
      <c r="X76" s="255" t="str">
        <f>IF(Karakterlap!Z22&lt;&gt;0,Karakterlap!Z22,"")</f>
        <v/>
      </c>
      <c r="Y76" s="257"/>
      <c r="Z76" s="256"/>
    </row>
    <row r="77" spans="2:26" ht="17.100000000000001" customHeight="1" x14ac:dyDescent="0.25">
      <c r="B77" s="175"/>
      <c r="C77" s="252" t="str">
        <f>Karakterlap!N23&amp;" "&amp;Karakterlap!O23</f>
        <v xml:space="preserve">Tánc - </v>
      </c>
      <c r="D77" s="253"/>
      <c r="E77" s="253"/>
      <c r="F77" s="253"/>
      <c r="G77" s="253"/>
      <c r="H77" s="253"/>
      <c r="I77" s="253"/>
      <c r="J77" s="253"/>
      <c r="K77" s="253"/>
      <c r="L77" s="253"/>
      <c r="M77" s="254"/>
      <c r="N77" s="255" t="str">
        <f>IFERROR(VLOOKUP(Karakterlap!R23,tul,2,0),"")</f>
        <v>Int</v>
      </c>
      <c r="O77" s="256"/>
      <c r="P77" s="257" t="str">
        <f>IFERROR(VLOOKUP(Karakterlap!S23,tul,2,0),"")</f>
        <v>Ügy</v>
      </c>
      <c r="Q77" s="256"/>
      <c r="R77" s="255" t="str">
        <f>IF(Karakterlap!V23&lt;&gt;"",Karakterlap!V23,"")</f>
        <v/>
      </c>
      <c r="S77" s="256"/>
      <c r="T77" s="255">
        <f>IF(Karakterlap!W23&lt;&gt;"",Karakterlap!W23,"")</f>
        <v>-10</v>
      </c>
      <c r="U77" s="256"/>
      <c r="V77" s="255">
        <f>IF(Karakterlap!X23&lt;&gt;"",Karakterlap!X23,"")</f>
        <v>0</v>
      </c>
      <c r="W77" s="256"/>
      <c r="X77" s="255" t="str">
        <f>IF(Karakterlap!Z23&lt;&gt;0,Karakterlap!Z23,"")</f>
        <v/>
      </c>
      <c r="Y77" s="257"/>
      <c r="Z77" s="256"/>
    </row>
    <row r="78" spans="2:26" ht="17.100000000000001" customHeight="1" x14ac:dyDescent="0.25">
      <c r="B78" s="175"/>
      <c r="C78" s="252" t="str">
        <f>Karakterlap!N24&amp;" "&amp;Karakterlap!O24</f>
        <v xml:space="preserve">Zene - </v>
      </c>
      <c r="D78" s="253"/>
      <c r="E78" s="253"/>
      <c r="F78" s="253"/>
      <c r="G78" s="253"/>
      <c r="H78" s="253"/>
      <c r="I78" s="253"/>
      <c r="J78" s="253"/>
      <c r="K78" s="253"/>
      <c r="L78" s="253"/>
      <c r="M78" s="254"/>
      <c r="N78" s="255" t="str">
        <f>IFERROR(VLOOKUP(Karakterlap!R24,tul,2,0),"")</f>
        <v>Int</v>
      </c>
      <c r="O78" s="256"/>
      <c r="P78" s="257" t="str">
        <f>IFERROR(VLOOKUP(Karakterlap!S24,tul,2,0),"")</f>
        <v>Ügy</v>
      </c>
      <c r="Q78" s="256"/>
      <c r="R78" s="255" t="str">
        <f>IF(Karakterlap!V24&lt;&gt;"",Karakterlap!V24,"")</f>
        <v/>
      </c>
      <c r="S78" s="256"/>
      <c r="T78" s="255">
        <f>IF(Karakterlap!W24&lt;&gt;"",Karakterlap!W24,"")</f>
        <v>-10</v>
      </c>
      <c r="U78" s="256"/>
      <c r="V78" s="255">
        <f>IF(Karakterlap!X24&lt;&gt;"",Karakterlap!X24,"")</f>
        <v>0</v>
      </c>
      <c r="W78" s="256"/>
      <c r="X78" s="255" t="str">
        <f>IF(Karakterlap!Z24&lt;&gt;0,Karakterlap!Z24,"")</f>
        <v/>
      </c>
      <c r="Y78" s="257"/>
      <c r="Z78" s="256"/>
    </row>
    <row r="79" spans="2:26" ht="17.100000000000001" customHeight="1" x14ac:dyDescent="0.25">
      <c r="B79" s="175"/>
      <c r="C79" s="252" t="str">
        <f>Karakterlap!N25&amp;" "&amp;Karakterlap!O25</f>
        <v xml:space="preserve">Manadinamika </v>
      </c>
      <c r="D79" s="253"/>
      <c r="E79" s="253"/>
      <c r="F79" s="253"/>
      <c r="G79" s="253"/>
      <c r="H79" s="253"/>
      <c r="I79" s="253"/>
      <c r="J79" s="253"/>
      <c r="K79" s="253"/>
      <c r="L79" s="253"/>
      <c r="M79" s="254"/>
      <c r="N79" s="255" t="str">
        <f>IFERROR(VLOOKUP(Karakterlap!R25,tul,2,0),"")</f>
        <v>Fiz</v>
      </c>
      <c r="O79" s="256"/>
      <c r="P79" s="257" t="str">
        <f>IFERROR(VLOOKUP(Karakterlap!S25,tul,2,0),"")</f>
        <v>Ügy</v>
      </c>
      <c r="Q79" s="256"/>
      <c r="R79" s="255" t="str">
        <f>IF(Karakterlap!V25&lt;&gt;"",Karakterlap!V25,"")</f>
        <v/>
      </c>
      <c r="S79" s="256"/>
      <c r="T79" s="255">
        <f>IF(Karakterlap!W25&lt;&gt;"",Karakterlap!W25,"")</f>
        <v>-10</v>
      </c>
      <c r="U79" s="256"/>
      <c r="V79" s="255">
        <f>IF(Karakterlap!X25&lt;&gt;"",Karakterlap!X25,"")</f>
        <v>0</v>
      </c>
      <c r="W79" s="256"/>
      <c r="X79" s="255" t="str">
        <f>IF(Karakterlap!Z25&lt;&gt;0,Karakterlap!Z25,"")</f>
        <v/>
      </c>
      <c r="Y79" s="257"/>
      <c r="Z79" s="256"/>
    </row>
    <row r="80" spans="2:26" ht="17.100000000000001" customHeight="1" x14ac:dyDescent="0.25">
      <c r="B80" s="175"/>
      <c r="C80" s="252" t="str">
        <f>Karakterlap!N26&amp;" "&amp;Karakterlap!O26</f>
        <v xml:space="preserve">Emelés </v>
      </c>
      <c r="D80" s="253"/>
      <c r="E80" s="253"/>
      <c r="F80" s="253"/>
      <c r="G80" s="253"/>
      <c r="H80" s="253"/>
      <c r="I80" s="253"/>
      <c r="J80" s="253"/>
      <c r="K80" s="253"/>
      <c r="L80" s="253"/>
      <c r="M80" s="254"/>
      <c r="N80" s="255" t="str">
        <f>IFERROR(VLOOKUP(Karakterlap!R26,tul,2,0),"")</f>
        <v>Fiz</v>
      </c>
      <c r="O80" s="256"/>
      <c r="P80" s="257" t="str">
        <f>IFERROR(VLOOKUP(Karakterlap!S26,tul,2,0),"")</f>
        <v>Fiz</v>
      </c>
      <c r="Q80" s="256"/>
      <c r="R80" s="255" t="str">
        <f>IF(Karakterlap!V26&lt;&gt;"",Karakterlap!V26,"")</f>
        <v/>
      </c>
      <c r="S80" s="256"/>
      <c r="T80" s="255">
        <f>IF(Karakterlap!W26&lt;&gt;"",Karakterlap!W26,"")</f>
        <v>-10</v>
      </c>
      <c r="U80" s="256"/>
      <c r="V80" s="255">
        <f>IF(Karakterlap!X26&lt;&gt;"",Karakterlap!X26,"")</f>
        <v>0</v>
      </c>
      <c r="W80" s="256"/>
      <c r="X80" s="255" t="str">
        <f>IF(Karakterlap!Z26&lt;&gt;0,Karakterlap!Z26,"")</f>
        <v/>
      </c>
      <c r="Y80" s="257"/>
      <c r="Z80" s="256"/>
    </row>
    <row r="81" spans="2:26" ht="17.100000000000001" customHeight="1" x14ac:dyDescent="0.25">
      <c r="B81" s="175"/>
      <c r="C81" s="252" t="str">
        <f>Karakterlap!N27&amp;" "&amp;Karakterlap!O27</f>
        <v xml:space="preserve">Fegyveres harc - </v>
      </c>
      <c r="D81" s="253"/>
      <c r="E81" s="253"/>
      <c r="F81" s="253"/>
      <c r="G81" s="253"/>
      <c r="H81" s="253"/>
      <c r="I81" s="253"/>
      <c r="J81" s="253"/>
      <c r="K81" s="253"/>
      <c r="L81" s="253"/>
      <c r="M81" s="254"/>
      <c r="N81" s="255" t="str">
        <f>IFERROR(VLOOKUP(Karakterlap!R27,tul,2,0),"")</f>
        <v>Fiz</v>
      </c>
      <c r="O81" s="256"/>
      <c r="P81" s="257" t="str">
        <f>IFERROR(VLOOKUP(Karakterlap!S27,tul,2,0),"")</f>
        <v>Ügy</v>
      </c>
      <c r="Q81" s="256"/>
      <c r="R81" s="255" t="str">
        <f>IF(Karakterlap!V27&lt;&gt;"",Karakterlap!V27,"")</f>
        <v/>
      </c>
      <c r="S81" s="256"/>
      <c r="T81" s="255">
        <f>IF(Karakterlap!W27&lt;&gt;"",Karakterlap!W27,"")</f>
        <v>-10</v>
      </c>
      <c r="U81" s="256"/>
      <c r="V81" s="255">
        <f>IF(Karakterlap!X27&lt;&gt;"",Karakterlap!X27,"")</f>
        <v>0</v>
      </c>
      <c r="W81" s="256"/>
      <c r="X81" s="255" t="str">
        <f>IF(Karakterlap!Z27&lt;&gt;0,Karakterlap!Z27,"")</f>
        <v/>
      </c>
      <c r="Y81" s="257"/>
      <c r="Z81" s="256"/>
    </row>
    <row r="82" spans="2:26" ht="17.100000000000001" customHeight="1" x14ac:dyDescent="0.25">
      <c r="B82" s="175"/>
      <c r="C82" s="252" t="str">
        <f>Karakterlap!N28&amp;" "&amp;Karakterlap!O28</f>
        <v xml:space="preserve">Kitérés </v>
      </c>
      <c r="D82" s="253"/>
      <c r="E82" s="253"/>
      <c r="F82" s="253"/>
      <c r="G82" s="253"/>
      <c r="H82" s="253"/>
      <c r="I82" s="253"/>
      <c r="J82" s="253"/>
      <c r="K82" s="253"/>
      <c r="L82" s="253"/>
      <c r="M82" s="254"/>
      <c r="N82" s="255" t="str">
        <f>IFERROR(VLOOKUP(Karakterlap!R28,tul,2,0),"")</f>
        <v>Ügy</v>
      </c>
      <c r="O82" s="256"/>
      <c r="P82" s="257" t="str">
        <f>IFERROR(VLOOKUP(Karakterlap!S28,tul,2,0),"")</f>
        <v>Észl</v>
      </c>
      <c r="Q82" s="256"/>
      <c r="R82" s="255" t="str">
        <f>IF(Karakterlap!V28&lt;&gt;"",Karakterlap!V28,"")</f>
        <v/>
      </c>
      <c r="S82" s="256"/>
      <c r="T82" s="255">
        <f>IF(Karakterlap!W28&lt;&gt;"",Karakterlap!W28,"")</f>
        <v>-10</v>
      </c>
      <c r="U82" s="256"/>
      <c r="V82" s="255">
        <f>IF(Karakterlap!X28&lt;&gt;"",Karakterlap!X28,"")</f>
        <v>0</v>
      </c>
      <c r="W82" s="256"/>
      <c r="X82" s="255" t="str">
        <f>IF(Karakterlap!Z28&lt;&gt;0,Karakterlap!Z28,"")</f>
        <v/>
      </c>
      <c r="Y82" s="257"/>
      <c r="Z82" s="256"/>
    </row>
    <row r="83" spans="2:26" ht="17.100000000000001" customHeight="1" x14ac:dyDescent="0.25">
      <c r="B83" s="175"/>
      <c r="C83" s="252" t="str">
        <f>Karakterlap!N29&amp;" "&amp;Karakterlap!O29</f>
        <v xml:space="preserve">Lőfegyveres harc - </v>
      </c>
      <c r="D83" s="253"/>
      <c r="E83" s="253"/>
      <c r="F83" s="253"/>
      <c r="G83" s="253"/>
      <c r="H83" s="253"/>
      <c r="I83" s="253"/>
      <c r="J83" s="253"/>
      <c r="K83" s="253"/>
      <c r="L83" s="253"/>
      <c r="M83" s="254"/>
      <c r="N83" s="255" t="str">
        <f>IFERROR(VLOOKUP(Karakterlap!R29,tul,2,0),"")</f>
        <v>Ügy</v>
      </c>
      <c r="O83" s="256"/>
      <c r="P83" s="257" t="str">
        <f>IFERROR(VLOOKUP(Karakterlap!S29,tul,2,0),"")</f>
        <v>Észl</v>
      </c>
      <c r="Q83" s="256"/>
      <c r="R83" s="255" t="str">
        <f>IF(Karakterlap!V29&lt;&gt;"",Karakterlap!V29,"")</f>
        <v/>
      </c>
      <c r="S83" s="256"/>
      <c r="T83" s="255">
        <f>IF(Karakterlap!W29&lt;&gt;"",Karakterlap!W29,"")</f>
        <v>-10</v>
      </c>
      <c r="U83" s="256"/>
      <c r="V83" s="255">
        <f>IF(Karakterlap!X29&lt;&gt;"",Karakterlap!X29,"")</f>
        <v>0</v>
      </c>
      <c r="W83" s="256"/>
      <c r="X83" s="255" t="str">
        <f>IF(Karakterlap!Z29&lt;&gt;0,Karakterlap!Z29,"")</f>
        <v/>
      </c>
      <c r="Y83" s="257"/>
      <c r="Z83" s="256"/>
    </row>
    <row r="84" spans="2:26" ht="17.100000000000001" customHeight="1" x14ac:dyDescent="0.25">
      <c r="B84" s="175"/>
      <c r="C84" s="252" t="str">
        <f>Karakterlap!N30&amp;" "&amp;Karakterlap!O30</f>
        <v xml:space="preserve">Pusztakezes harc - </v>
      </c>
      <c r="D84" s="253"/>
      <c r="E84" s="253"/>
      <c r="F84" s="253"/>
      <c r="G84" s="253"/>
      <c r="H84" s="253"/>
      <c r="I84" s="253"/>
      <c r="J84" s="253"/>
      <c r="K84" s="253"/>
      <c r="L84" s="253"/>
      <c r="M84" s="254"/>
      <c r="N84" s="255" t="str">
        <f>IFERROR(VLOOKUP(Karakterlap!R30,tul,2,0),"")</f>
        <v>Ügy</v>
      </c>
      <c r="O84" s="256"/>
      <c r="P84" s="257" t="str">
        <f>IFERROR(VLOOKUP(Karakterlap!S30,tul,2,0),"")</f>
        <v>Ügy</v>
      </c>
      <c r="Q84" s="256"/>
      <c r="R84" s="255" t="str">
        <f>IF(Karakterlap!V30&lt;&gt;"",Karakterlap!V30,"")</f>
        <v/>
      </c>
      <c r="S84" s="256"/>
      <c r="T84" s="255">
        <f>IF(Karakterlap!W30&lt;&gt;"",Karakterlap!W30,"")</f>
        <v>-10</v>
      </c>
      <c r="U84" s="256"/>
      <c r="V84" s="255">
        <f>IF(Karakterlap!X30&lt;&gt;"",Karakterlap!X30,"")</f>
        <v>0</v>
      </c>
      <c r="W84" s="256"/>
      <c r="X84" s="255" t="str">
        <f>IF(Karakterlap!Z30&lt;&gt;0,Karakterlap!Z30,"")</f>
        <v/>
      </c>
      <c r="Y84" s="257"/>
      <c r="Z84" s="256"/>
    </row>
    <row r="85" spans="2:26" ht="17.100000000000001" customHeight="1" x14ac:dyDescent="0.25">
      <c r="B85" s="175"/>
      <c r="C85" s="252" t="str">
        <f>Karakterlap!N31&amp;" "&amp;Karakterlap!O31</f>
        <v xml:space="preserve">Pusztakezes harc - </v>
      </c>
      <c r="D85" s="253"/>
      <c r="E85" s="253"/>
      <c r="F85" s="253"/>
      <c r="G85" s="253"/>
      <c r="H85" s="253"/>
      <c r="I85" s="253"/>
      <c r="J85" s="253"/>
      <c r="K85" s="253"/>
      <c r="L85" s="253"/>
      <c r="M85" s="254"/>
      <c r="N85" s="255" t="str">
        <f>IFERROR(VLOOKUP(Karakterlap!R31,tul,2,0),"")</f>
        <v>Fiz</v>
      </c>
      <c r="O85" s="256"/>
      <c r="P85" s="257" t="str">
        <f>IFERROR(VLOOKUP(Karakterlap!S31,tul,2,0),"")</f>
        <v>Ügy</v>
      </c>
      <c r="Q85" s="256"/>
      <c r="R85" s="255" t="str">
        <f>IF(Karakterlap!V31&lt;&gt;"",Karakterlap!V31,"")</f>
        <v/>
      </c>
      <c r="S85" s="256"/>
      <c r="T85" s="255">
        <f>IF(Karakterlap!W31&lt;&gt;"",Karakterlap!W31,"")</f>
        <v>-10</v>
      </c>
      <c r="U85" s="256"/>
      <c r="V85" s="255">
        <f>IF(Karakterlap!X31&lt;&gt;"",Karakterlap!X31,"")</f>
        <v>0</v>
      </c>
      <c r="W85" s="256"/>
      <c r="X85" s="255" t="str">
        <f>IF(Karakterlap!Z31&lt;&gt;0,Karakterlap!Z31,"")</f>
        <v/>
      </c>
      <c r="Y85" s="257"/>
      <c r="Z85" s="256"/>
    </row>
    <row r="86" spans="2:26" ht="17.100000000000001" customHeight="1" x14ac:dyDescent="0.25">
      <c r="B86" s="175"/>
      <c r="C86" s="252" t="str">
        <f>Karakterlap!N32&amp;" "&amp;Karakterlap!O32</f>
        <v xml:space="preserve">Pusztakezes harc - </v>
      </c>
      <c r="D86" s="253"/>
      <c r="E86" s="253"/>
      <c r="F86" s="253"/>
      <c r="G86" s="253"/>
      <c r="H86" s="253"/>
      <c r="I86" s="253"/>
      <c r="J86" s="253"/>
      <c r="K86" s="253"/>
      <c r="L86" s="253"/>
      <c r="M86" s="254"/>
      <c r="N86" s="255" t="str">
        <f>IFERROR(VLOOKUP(Karakterlap!R32,tul,2,0),"")</f>
        <v>Fiz</v>
      </c>
      <c r="O86" s="256"/>
      <c r="P86" s="257" t="str">
        <f>IFERROR(VLOOKUP(Karakterlap!S32,tul,2,0),"")</f>
        <v>Fiz</v>
      </c>
      <c r="Q86" s="256"/>
      <c r="R86" s="255" t="str">
        <f>IF(Karakterlap!V32&lt;&gt;"",Karakterlap!V32,"")</f>
        <v/>
      </c>
      <c r="S86" s="256"/>
      <c r="T86" s="255">
        <f>IF(Karakterlap!W32&lt;&gt;"",Karakterlap!W32,"")</f>
        <v>-10</v>
      </c>
      <c r="U86" s="256"/>
      <c r="V86" s="255">
        <f>IF(Karakterlap!X32&lt;&gt;"",Karakterlap!X32,"")</f>
        <v>0</v>
      </c>
      <c r="W86" s="256"/>
      <c r="X86" s="255" t="str">
        <f>IF(Karakterlap!Z32&lt;&gt;0,Karakterlap!Z32,"")</f>
        <v/>
      </c>
      <c r="Y86" s="257"/>
      <c r="Z86" s="256"/>
    </row>
    <row r="87" spans="2:26" ht="17.100000000000001" customHeight="1" x14ac:dyDescent="0.25">
      <c r="B87" s="175"/>
      <c r="C87" s="252" t="str">
        <f>Karakterlap!N33&amp;" "&amp;Karakterlap!O33</f>
        <v xml:space="preserve">Álcázás </v>
      </c>
      <c r="D87" s="253"/>
      <c r="E87" s="253"/>
      <c r="F87" s="253"/>
      <c r="G87" s="253"/>
      <c r="H87" s="253"/>
      <c r="I87" s="253"/>
      <c r="J87" s="253"/>
      <c r="K87" s="253"/>
      <c r="L87" s="253"/>
      <c r="M87" s="254"/>
      <c r="N87" s="255" t="str">
        <f>IFERROR(VLOOKUP(Karakterlap!R33,tul,2,0),"")</f>
        <v>Int</v>
      </c>
      <c r="O87" s="256"/>
      <c r="P87" s="257" t="str">
        <f>IFERROR(VLOOKUP(Karakterlap!S33,tul,2,0),"")</f>
        <v>Ügy</v>
      </c>
      <c r="Q87" s="256"/>
      <c r="R87" s="255" t="str">
        <f>IF(Karakterlap!V33&lt;&gt;"",Karakterlap!V33,"")</f>
        <v/>
      </c>
      <c r="S87" s="256"/>
      <c r="T87" s="255">
        <f>IF(Karakterlap!W33&lt;&gt;"",Karakterlap!W33,"")</f>
        <v>-10</v>
      </c>
      <c r="U87" s="256"/>
      <c r="V87" s="255">
        <f>IF(Karakterlap!X33&lt;&gt;"",Karakterlap!X33,"")</f>
        <v>0</v>
      </c>
      <c r="W87" s="256"/>
      <c r="X87" s="255" t="str">
        <f>IF(Karakterlap!Z33&lt;&gt;0,Karakterlap!Z33,"")</f>
        <v/>
      </c>
      <c r="Y87" s="257"/>
      <c r="Z87" s="256"/>
    </row>
    <row r="88" spans="2:26" ht="17.100000000000001" customHeight="1" x14ac:dyDescent="0.25">
      <c r="B88" s="175"/>
      <c r="C88" s="252" t="str">
        <f>Karakterlap!N34&amp;" "&amp;Karakterlap!O34</f>
        <v xml:space="preserve">Csalás </v>
      </c>
      <c r="D88" s="253"/>
      <c r="E88" s="253"/>
      <c r="F88" s="253"/>
      <c r="G88" s="253"/>
      <c r="H88" s="253"/>
      <c r="I88" s="253"/>
      <c r="J88" s="253"/>
      <c r="K88" s="253"/>
      <c r="L88" s="253"/>
      <c r="M88" s="254"/>
      <c r="N88" s="255" t="str">
        <f>IFERROR(VLOOKUP(Karakterlap!R34,tul,2,0),"")</f>
        <v>Észl</v>
      </c>
      <c r="O88" s="256"/>
      <c r="P88" s="257" t="str">
        <f>IFERROR(VLOOKUP(Karakterlap!S34,tul,2,0),"")</f>
        <v>Ügy</v>
      </c>
      <c r="Q88" s="256"/>
      <c r="R88" s="255" t="str">
        <f>IF(Karakterlap!V34&lt;&gt;"",Karakterlap!V34,"")</f>
        <v/>
      </c>
      <c r="S88" s="256"/>
      <c r="T88" s="255">
        <f>IF(Karakterlap!W34&lt;&gt;"",Karakterlap!W34,"")</f>
        <v>-10</v>
      </c>
      <c r="U88" s="256"/>
      <c r="V88" s="255">
        <f>IF(Karakterlap!X34&lt;&gt;"",Karakterlap!X34,"")</f>
        <v>0</v>
      </c>
      <c r="W88" s="256"/>
      <c r="X88" s="255" t="str">
        <f>IF(Karakterlap!Z34&lt;&gt;0,Karakterlap!Z34,"")</f>
        <v/>
      </c>
      <c r="Y88" s="257"/>
      <c r="Z88" s="256"/>
    </row>
    <row r="89" spans="2:26" ht="17.100000000000001" customHeight="1" x14ac:dyDescent="0.25">
      <c r="B89" s="175"/>
      <c r="C89" s="252" t="str">
        <f>Karakterlap!N35&amp;" "&amp;Karakterlap!O35</f>
        <v xml:space="preserve">Éberség </v>
      </c>
      <c r="D89" s="253"/>
      <c r="E89" s="253"/>
      <c r="F89" s="253"/>
      <c r="G89" s="253"/>
      <c r="H89" s="253"/>
      <c r="I89" s="253"/>
      <c r="J89" s="253"/>
      <c r="K89" s="253"/>
      <c r="L89" s="253"/>
      <c r="M89" s="254"/>
      <c r="N89" s="255" t="str">
        <f>IFERROR(VLOOKUP(Karakterlap!R35,tul,2,0),"")</f>
        <v>Aka</v>
      </c>
      <c r="O89" s="256"/>
      <c r="P89" s="257" t="str">
        <f>IFERROR(VLOOKUP(Karakterlap!S35,tul,2,0),"")</f>
        <v>Észl</v>
      </c>
      <c r="Q89" s="256"/>
      <c r="R89" s="255" t="str">
        <f>IF(Karakterlap!V35&lt;&gt;"",Karakterlap!V35,"")</f>
        <v/>
      </c>
      <c r="S89" s="256"/>
      <c r="T89" s="255">
        <f>IF(Karakterlap!W35&lt;&gt;"",Karakterlap!W35,"")</f>
        <v>-10</v>
      </c>
      <c r="U89" s="256"/>
      <c r="V89" s="255">
        <f>IF(Karakterlap!X35&lt;&gt;"",Karakterlap!X35,"")</f>
        <v>0</v>
      </c>
      <c r="W89" s="256"/>
      <c r="X89" s="255" t="str">
        <f>IF(Karakterlap!Z35&lt;&gt;0,Karakterlap!Z35,"")</f>
        <v/>
      </c>
      <c r="Y89" s="257"/>
      <c r="Z89" s="256"/>
    </row>
    <row r="90" spans="2:26" ht="17.100000000000001" customHeight="1" x14ac:dyDescent="0.25">
      <c r="B90" s="175"/>
      <c r="C90" s="252" t="str">
        <f>Karakterlap!N36&amp;" "&amp;Karakterlap!O36</f>
        <v xml:space="preserve">Fürkészés </v>
      </c>
      <c r="D90" s="253"/>
      <c r="E90" s="253"/>
      <c r="F90" s="253"/>
      <c r="G90" s="253"/>
      <c r="H90" s="253"/>
      <c r="I90" s="253"/>
      <c r="J90" s="253"/>
      <c r="K90" s="253"/>
      <c r="L90" s="253"/>
      <c r="M90" s="254"/>
      <c r="N90" s="255" t="str">
        <f>IFERROR(VLOOKUP(Karakterlap!R36,tul,2,0),"")</f>
        <v>Int</v>
      </c>
      <c r="O90" s="256"/>
      <c r="P90" s="257" t="str">
        <f>IFERROR(VLOOKUP(Karakterlap!S36,tul,2,0),"")</f>
        <v>Észl</v>
      </c>
      <c r="Q90" s="256"/>
      <c r="R90" s="255" t="str">
        <f>IF(Karakterlap!V36&lt;&gt;"",Karakterlap!V36,"")</f>
        <v/>
      </c>
      <c r="S90" s="256"/>
      <c r="T90" s="255">
        <f>IF(Karakterlap!W36&lt;&gt;"",Karakterlap!W36,"")</f>
        <v>-10</v>
      </c>
      <c r="U90" s="256"/>
      <c r="V90" s="255">
        <f>IF(Karakterlap!X36&lt;&gt;"",Karakterlap!X36,"")</f>
        <v>0</v>
      </c>
      <c r="W90" s="256"/>
      <c r="X90" s="255" t="str">
        <f>IF(Karakterlap!Z36&lt;&gt;0,Karakterlap!Z36,"")</f>
        <v/>
      </c>
      <c r="Y90" s="257"/>
      <c r="Z90" s="256"/>
    </row>
    <row r="91" spans="2:26" ht="17.100000000000001" customHeight="1" x14ac:dyDescent="0.25">
      <c r="B91" s="175"/>
      <c r="C91" s="252" t="str">
        <f>Karakterlap!N37&amp;" "&amp;Karakterlap!O37</f>
        <v xml:space="preserve">Helyzetfelmérés </v>
      </c>
      <c r="D91" s="253"/>
      <c r="E91" s="253"/>
      <c r="F91" s="253"/>
      <c r="G91" s="253"/>
      <c r="H91" s="253"/>
      <c r="I91" s="253"/>
      <c r="J91" s="253"/>
      <c r="K91" s="253"/>
      <c r="L91" s="253"/>
      <c r="M91" s="254"/>
      <c r="N91" s="255" t="str">
        <f>IFERROR(VLOOKUP(Karakterlap!R37,tul,2,0),"")</f>
        <v>Int</v>
      </c>
      <c r="O91" s="256"/>
      <c r="P91" s="257" t="str">
        <f>IFERROR(VLOOKUP(Karakterlap!S37,tul,2,0),"")</f>
        <v>Észl</v>
      </c>
      <c r="Q91" s="256"/>
      <c r="R91" s="255" t="str">
        <f>IF(Karakterlap!V37&lt;&gt;"",Karakterlap!V37,"")</f>
        <v/>
      </c>
      <c r="S91" s="256"/>
      <c r="T91" s="255">
        <f>IF(Karakterlap!W37&lt;&gt;"",Karakterlap!W37,"")</f>
        <v>-10</v>
      </c>
      <c r="U91" s="256"/>
      <c r="V91" s="255">
        <f>IF(Karakterlap!X37&lt;&gt;"",Karakterlap!X37,"")</f>
        <v>0</v>
      </c>
      <c r="W91" s="256"/>
      <c r="X91" s="255" t="str">
        <f>IF(Karakterlap!Z37&lt;&gt;0,Karakterlap!Z37,"")</f>
        <v/>
      </c>
      <c r="Y91" s="257"/>
      <c r="Z91" s="256"/>
    </row>
    <row r="92" spans="2:26" ht="17.100000000000001" customHeight="1" x14ac:dyDescent="0.25">
      <c r="B92" s="175"/>
      <c r="C92" s="252" t="str">
        <f>Karakterlap!N38&amp;" "&amp;Karakterlap!O38</f>
        <v xml:space="preserve">Idomítás </v>
      </c>
      <c r="D92" s="253"/>
      <c r="E92" s="253"/>
      <c r="F92" s="253"/>
      <c r="G92" s="253"/>
      <c r="H92" s="253"/>
      <c r="I92" s="253"/>
      <c r="J92" s="253"/>
      <c r="K92" s="253"/>
      <c r="L92" s="253"/>
      <c r="M92" s="254"/>
      <c r="N92" s="255" t="str">
        <f>IFERROR(VLOOKUP(Karakterlap!R38,tul,2,0),"")</f>
        <v>Int</v>
      </c>
      <c r="O92" s="256"/>
      <c r="P92" s="257" t="str">
        <f>IFERROR(VLOOKUP(Karakterlap!S38,tul,2,0),"")</f>
        <v>Ügy</v>
      </c>
      <c r="Q92" s="256"/>
      <c r="R92" s="255" t="str">
        <f>IF(Karakterlap!V38&lt;&gt;"",Karakterlap!V38,"")</f>
        <v/>
      </c>
      <c r="S92" s="256"/>
      <c r="T92" s="255">
        <f>IF(Karakterlap!W38&lt;&gt;"",Karakterlap!W38,"")</f>
        <v>-10</v>
      </c>
      <c r="U92" s="256"/>
      <c r="V92" s="255">
        <f>IF(Karakterlap!X38&lt;&gt;"",Karakterlap!X38,"")</f>
        <v>0</v>
      </c>
      <c r="W92" s="256"/>
      <c r="X92" s="255" t="str">
        <f>IF(Karakterlap!Z38&lt;&gt;0,Karakterlap!Z38,"")</f>
        <v/>
      </c>
      <c r="Y92" s="257"/>
      <c r="Z92" s="256"/>
    </row>
    <row r="93" spans="2:26" ht="17.100000000000001" customHeight="1" x14ac:dyDescent="0.25">
      <c r="B93" s="175"/>
      <c r="C93" s="252" t="str">
        <f>Karakterlap!N39&amp;" "&amp;Karakterlap!O39</f>
        <v xml:space="preserve">Kihallgatás </v>
      </c>
      <c r="D93" s="253"/>
      <c r="E93" s="253"/>
      <c r="F93" s="253"/>
      <c r="G93" s="253"/>
      <c r="H93" s="253"/>
      <c r="I93" s="253"/>
      <c r="J93" s="253"/>
      <c r="K93" s="253"/>
      <c r="L93" s="253"/>
      <c r="M93" s="254"/>
      <c r="N93" s="255" t="str">
        <f>IFERROR(VLOOKUP(Karakterlap!R39,tul,2,0),"")</f>
        <v>Int</v>
      </c>
      <c r="O93" s="256"/>
      <c r="P93" s="257" t="str">
        <f>IFERROR(VLOOKUP(Karakterlap!S39,tul,2,0),"")</f>
        <v>Észl</v>
      </c>
      <c r="Q93" s="256"/>
      <c r="R93" s="255" t="str">
        <f>IF(Karakterlap!V39&lt;&gt;"",Karakterlap!V39,"")</f>
        <v/>
      </c>
      <c r="S93" s="256"/>
      <c r="T93" s="255">
        <f>IF(Karakterlap!W39&lt;&gt;"",Karakterlap!W39,"")</f>
        <v>-10</v>
      </c>
      <c r="U93" s="256"/>
      <c r="V93" s="255">
        <f>IF(Karakterlap!X39&lt;&gt;"",Karakterlap!X39,"")</f>
        <v>0</v>
      </c>
      <c r="W93" s="256"/>
      <c r="X93" s="255" t="str">
        <f>IF(Karakterlap!Z39&lt;&gt;0,Karakterlap!Z39,"")</f>
        <v/>
      </c>
      <c r="Y93" s="257"/>
      <c r="Z93" s="256"/>
    </row>
    <row r="94" spans="2:26" ht="17.100000000000001" customHeight="1" x14ac:dyDescent="0.25">
      <c r="B94" s="175"/>
      <c r="C94" s="252" t="str">
        <f>Karakterlap!N40&amp;" "&amp;Karakterlap!O40</f>
        <v xml:space="preserve">Lopakodás </v>
      </c>
      <c r="D94" s="253"/>
      <c r="E94" s="253"/>
      <c r="F94" s="253"/>
      <c r="G94" s="253"/>
      <c r="H94" s="253"/>
      <c r="I94" s="253"/>
      <c r="J94" s="253"/>
      <c r="K94" s="253"/>
      <c r="L94" s="253"/>
      <c r="M94" s="254"/>
      <c r="N94" s="255" t="str">
        <f>IFERROR(VLOOKUP(Karakterlap!R40,tul,2,0),"")</f>
        <v>Ügy</v>
      </c>
      <c r="O94" s="256"/>
      <c r="P94" s="257" t="str">
        <f>IFERROR(VLOOKUP(Karakterlap!S40,tul,2,0),"")</f>
        <v>Észl</v>
      </c>
      <c r="Q94" s="256"/>
      <c r="R94" s="255" t="str">
        <f>IF(Karakterlap!V40&lt;&gt;"",Karakterlap!V40,"")</f>
        <v/>
      </c>
      <c r="S94" s="256"/>
      <c r="T94" s="255">
        <f>IF(Karakterlap!W40&lt;&gt;"",Karakterlap!W40,"")</f>
        <v>-10</v>
      </c>
      <c r="U94" s="256"/>
      <c r="V94" s="255">
        <f>IF(Karakterlap!X40&lt;&gt;"",Karakterlap!X40,"")</f>
        <v>0</v>
      </c>
      <c r="W94" s="256"/>
      <c r="X94" s="255" t="str">
        <f>IF(Karakterlap!Z40&lt;&gt;0,Karakterlap!Z40,"")</f>
        <v/>
      </c>
      <c r="Y94" s="257"/>
      <c r="Z94" s="256"/>
    </row>
    <row r="104" spans="2:26" ht="17.100000000000001" customHeight="1" x14ac:dyDescent="0.25">
      <c r="B104" s="181" t="s">
        <v>855</v>
      </c>
      <c r="C104" s="258" t="s">
        <v>803</v>
      </c>
      <c r="D104" s="259"/>
      <c r="E104" s="259"/>
      <c r="F104" s="259"/>
      <c r="G104" s="259"/>
      <c r="H104" s="259"/>
      <c r="I104" s="259"/>
      <c r="J104" s="259"/>
      <c r="K104" s="259"/>
      <c r="L104" s="259"/>
      <c r="M104" s="260"/>
      <c r="N104" s="258" t="s">
        <v>1220</v>
      </c>
      <c r="O104" s="259"/>
      <c r="P104" s="259"/>
      <c r="Q104" s="260"/>
      <c r="R104" s="258" t="s">
        <v>1425</v>
      </c>
      <c r="S104" s="260"/>
      <c r="T104" s="258" t="s">
        <v>1070</v>
      </c>
      <c r="U104" s="260"/>
      <c r="V104" s="258" t="s">
        <v>897</v>
      </c>
      <c r="W104" s="260"/>
      <c r="X104" s="258" t="s">
        <v>896</v>
      </c>
      <c r="Y104" s="259"/>
      <c r="Z104" s="260"/>
    </row>
    <row r="105" spans="2:26" ht="17.100000000000001" customHeight="1" x14ac:dyDescent="0.25">
      <c r="B105" s="175"/>
      <c r="C105" s="252" t="str">
        <f>Karakterlap!N41&amp;" "&amp;Karakterlap!O41</f>
        <v xml:space="preserve">Méregellenállás </v>
      </c>
      <c r="D105" s="253"/>
      <c r="E105" s="253"/>
      <c r="F105" s="253"/>
      <c r="G105" s="253"/>
      <c r="H105" s="253"/>
      <c r="I105" s="253"/>
      <c r="J105" s="253"/>
      <c r="K105" s="253"/>
      <c r="L105" s="253"/>
      <c r="M105" s="254"/>
      <c r="N105" s="255" t="str">
        <f>IFERROR(VLOOKUP(Karakterlap!R41,tul,2,0),"")</f>
        <v>Aka</v>
      </c>
      <c r="O105" s="256"/>
      <c r="P105" s="257" t="str">
        <f>IFERROR(VLOOKUP(Karakterlap!S41,tul,2,0),"")</f>
        <v>Fiz</v>
      </c>
      <c r="Q105" s="256"/>
      <c r="R105" s="255" t="str">
        <f>IF(Karakterlap!V41&lt;&gt;"",Karakterlap!V41,"")</f>
        <v/>
      </c>
      <c r="S105" s="256"/>
      <c r="T105" s="255">
        <f>IF(Karakterlap!W41&lt;&gt;"",Karakterlap!W41,"")</f>
        <v>-10</v>
      </c>
      <c r="U105" s="256"/>
      <c r="V105" s="255">
        <f>IF(Karakterlap!X41&lt;&gt;"",Karakterlap!X41,"")</f>
        <v>0</v>
      </c>
      <c r="W105" s="256"/>
      <c r="X105" s="255" t="str">
        <f>IF(Karakterlap!Z41&lt;&gt;0,Karakterlap!Z41,"")</f>
        <v/>
      </c>
      <c r="Y105" s="257"/>
      <c r="Z105" s="256"/>
    </row>
    <row r="106" spans="2:26" ht="17.100000000000001" customHeight="1" x14ac:dyDescent="0.25">
      <c r="B106" s="175"/>
      <c r="C106" s="252" t="str">
        <f>Karakterlap!N42&amp;" "&amp;Karakterlap!O42</f>
        <v xml:space="preserve">Megfélemlítés </v>
      </c>
      <c r="D106" s="253"/>
      <c r="E106" s="253"/>
      <c r="F106" s="253"/>
      <c r="G106" s="253"/>
      <c r="H106" s="253"/>
      <c r="I106" s="253"/>
      <c r="J106" s="253"/>
      <c r="K106" s="253"/>
      <c r="L106" s="253"/>
      <c r="M106" s="254"/>
      <c r="N106" s="255" t="str">
        <f>IFERROR(VLOOKUP(Karakterlap!R42,tul,2,0),"")</f>
        <v>Int</v>
      </c>
      <c r="O106" s="256"/>
      <c r="P106" s="257" t="str">
        <f>IFERROR(VLOOKUP(Karakterlap!S42,tul,2,0),"")</f>
        <v>Fiz</v>
      </c>
      <c r="Q106" s="256"/>
      <c r="R106" s="255" t="str">
        <f>IF(Karakterlap!V42&lt;&gt;"",Karakterlap!V42,"")</f>
        <v/>
      </c>
      <c r="S106" s="256"/>
      <c r="T106" s="255">
        <f>IF(Karakterlap!W42&lt;&gt;"",Karakterlap!W42,"")</f>
        <v>-10</v>
      </c>
      <c r="U106" s="256"/>
      <c r="V106" s="255">
        <f>IF(Karakterlap!X42&lt;&gt;"",Karakterlap!X42,"")</f>
        <v>0</v>
      </c>
      <c r="W106" s="256"/>
      <c r="X106" s="255" t="str">
        <f>IF(Karakterlap!Z42&lt;&gt;0,Karakterlap!Z42,"")</f>
        <v/>
      </c>
      <c r="Y106" s="257"/>
      <c r="Z106" s="256"/>
    </row>
    <row r="107" spans="2:26" ht="17.100000000000001" customHeight="1" x14ac:dyDescent="0.25">
      <c r="B107" s="175"/>
      <c r="C107" s="252" t="str">
        <f>Karakterlap!N43&amp;" "&amp;Karakterlap!O43</f>
        <v xml:space="preserve">Meggyőzés </v>
      </c>
      <c r="D107" s="253"/>
      <c r="E107" s="253"/>
      <c r="F107" s="253"/>
      <c r="G107" s="253"/>
      <c r="H107" s="253"/>
      <c r="I107" s="253"/>
      <c r="J107" s="253"/>
      <c r="K107" s="253"/>
      <c r="L107" s="253"/>
      <c r="M107" s="254"/>
      <c r="N107" s="255" t="str">
        <f>IFERROR(VLOOKUP(Karakterlap!R43,tul,2,0),"")</f>
        <v>Int</v>
      </c>
      <c r="O107" s="256"/>
      <c r="P107" s="257" t="str">
        <f>IFERROR(VLOOKUP(Karakterlap!S43,tul,2,0),"")</f>
        <v>Megj</v>
      </c>
      <c r="Q107" s="256"/>
      <c r="R107" s="255" t="str">
        <f>IF(Karakterlap!V43&lt;&gt;"",Karakterlap!V43,"")</f>
        <v/>
      </c>
      <c r="S107" s="256"/>
      <c r="T107" s="255">
        <f>IF(Karakterlap!W43&lt;&gt;"",Karakterlap!W43,"")</f>
        <v>-10</v>
      </c>
      <c r="U107" s="256"/>
      <c r="V107" s="255">
        <f>IF(Karakterlap!X43&lt;&gt;"",Karakterlap!X43,"")</f>
        <v>0</v>
      </c>
      <c r="W107" s="256"/>
      <c r="X107" s="255" t="str">
        <f>IF(Karakterlap!Z43&lt;&gt;0,Karakterlap!Z43,"")</f>
        <v/>
      </c>
      <c r="Y107" s="257"/>
      <c r="Z107" s="256"/>
    </row>
    <row r="108" spans="2:26" ht="17.100000000000001" customHeight="1" x14ac:dyDescent="0.25">
      <c r="B108" s="175"/>
      <c r="C108" s="252" t="str">
        <f>Karakterlap!N44&amp;" "&amp;Karakterlap!O44</f>
        <v xml:space="preserve">Orvoslás </v>
      </c>
      <c r="D108" s="253"/>
      <c r="E108" s="253"/>
      <c r="F108" s="253"/>
      <c r="G108" s="253"/>
      <c r="H108" s="253"/>
      <c r="I108" s="253"/>
      <c r="J108" s="253"/>
      <c r="K108" s="253"/>
      <c r="L108" s="253"/>
      <c r="M108" s="254"/>
      <c r="N108" s="255" t="str">
        <f>IFERROR(VLOOKUP(Karakterlap!R44,tul,2,0),"")</f>
        <v>Ügy</v>
      </c>
      <c r="O108" s="256"/>
      <c r="P108" s="257" t="str">
        <f>IFERROR(VLOOKUP(Karakterlap!S44,tul,2,0),"")</f>
        <v>Észl</v>
      </c>
      <c r="Q108" s="256"/>
      <c r="R108" s="255" t="str">
        <f>IF(Karakterlap!V44&lt;&gt;"",Karakterlap!V44,"")</f>
        <v/>
      </c>
      <c r="S108" s="256"/>
      <c r="T108" s="255">
        <f>IF(Karakterlap!W44&lt;&gt;"",Karakterlap!W44,"")</f>
        <v>-10</v>
      </c>
      <c r="U108" s="256"/>
      <c r="V108" s="255">
        <f>IF(Karakterlap!X44&lt;&gt;"",Karakterlap!X44,"")</f>
        <v>0</v>
      </c>
      <c r="W108" s="256"/>
      <c r="X108" s="255" t="str">
        <f>IF(Karakterlap!Z44&lt;&gt;0,Karakterlap!Z44,"")</f>
        <v/>
      </c>
      <c r="Y108" s="257"/>
      <c r="Z108" s="256"/>
    </row>
    <row r="109" spans="2:26" ht="17.100000000000001" customHeight="1" x14ac:dyDescent="0.25">
      <c r="B109" s="175"/>
      <c r="C109" s="252" t="str">
        <f>Karakterlap!N45&amp;" "&amp;Karakterlap!O45</f>
        <v xml:space="preserve">Önuralom </v>
      </c>
      <c r="D109" s="253"/>
      <c r="E109" s="253"/>
      <c r="F109" s="253"/>
      <c r="G109" s="253"/>
      <c r="H109" s="253"/>
      <c r="I109" s="253"/>
      <c r="J109" s="253"/>
      <c r="K109" s="253"/>
      <c r="L109" s="253"/>
      <c r="M109" s="254"/>
      <c r="N109" s="255" t="str">
        <f>IFERROR(VLOOKUP(Karakterlap!R45,tul,2,0),"")</f>
        <v>Int</v>
      </c>
      <c r="O109" s="256"/>
      <c r="P109" s="257" t="str">
        <f>IFERROR(VLOOKUP(Karakterlap!S45,tul,2,0),"")</f>
        <v>Aka</v>
      </c>
      <c r="Q109" s="256"/>
      <c r="R109" s="255" t="str">
        <f>IF(Karakterlap!V45&lt;&gt;"",Karakterlap!V45,"")</f>
        <v/>
      </c>
      <c r="S109" s="256"/>
      <c r="T109" s="255">
        <f>IF(Karakterlap!W45&lt;&gt;"",Karakterlap!W45,"")</f>
        <v>-10</v>
      </c>
      <c r="U109" s="256"/>
      <c r="V109" s="255">
        <f>IF(Karakterlap!X45&lt;&gt;"",Karakterlap!X45,"")</f>
        <v>0</v>
      </c>
      <c r="W109" s="256"/>
      <c r="X109" s="255" t="str">
        <f>IF(Karakterlap!Z45&lt;&gt;0,Karakterlap!Z45,"")</f>
        <v/>
      </c>
      <c r="Y109" s="257"/>
      <c r="Z109" s="256"/>
    </row>
    <row r="110" spans="2:26" ht="17.100000000000001" customHeight="1" x14ac:dyDescent="0.25">
      <c r="B110" s="175"/>
      <c r="C110" s="252" t="str">
        <f>Karakterlap!N46&amp;" "&amp;Karakterlap!O46</f>
        <v xml:space="preserve">Tolvajlás </v>
      </c>
      <c r="D110" s="253"/>
      <c r="E110" s="253"/>
      <c r="F110" s="253"/>
      <c r="G110" s="253"/>
      <c r="H110" s="253"/>
      <c r="I110" s="253"/>
      <c r="J110" s="253"/>
      <c r="K110" s="253"/>
      <c r="L110" s="253"/>
      <c r="M110" s="254"/>
      <c r="N110" s="255" t="str">
        <f>IFERROR(VLOOKUP(Karakterlap!R46,tul,2,0),"")</f>
        <v>Ügy</v>
      </c>
      <c r="O110" s="256"/>
      <c r="P110" s="257" t="str">
        <f>IFERROR(VLOOKUP(Karakterlap!S46,tul,2,0),"")</f>
        <v>Észl</v>
      </c>
      <c r="Q110" s="256"/>
      <c r="R110" s="255" t="str">
        <f>IF(Karakterlap!V46&lt;&gt;"",Karakterlap!V46,"")</f>
        <v/>
      </c>
      <c r="S110" s="256"/>
      <c r="T110" s="255">
        <f>IF(Karakterlap!W46&lt;&gt;"",Karakterlap!W46,"")</f>
        <v>-10</v>
      </c>
      <c r="U110" s="256"/>
      <c r="V110" s="255">
        <f>IF(Karakterlap!X46&lt;&gt;"",Karakterlap!X46,"")</f>
        <v>0</v>
      </c>
      <c r="W110" s="256"/>
      <c r="X110" s="255" t="str">
        <f>IF(Karakterlap!Z46&lt;&gt;0,Karakterlap!Z46,"")</f>
        <v/>
      </c>
      <c r="Y110" s="257"/>
      <c r="Z110" s="256"/>
    </row>
    <row r="111" spans="2:26" ht="17.100000000000001" customHeight="1" x14ac:dyDescent="0.25">
      <c r="B111" s="175"/>
      <c r="C111" s="252" t="str">
        <f>Karakterlap!N47&amp;" "&amp;Karakterlap!O47</f>
        <v xml:space="preserve">Vallatás </v>
      </c>
      <c r="D111" s="253"/>
      <c r="E111" s="253"/>
      <c r="F111" s="253"/>
      <c r="G111" s="253"/>
      <c r="H111" s="253"/>
      <c r="I111" s="253"/>
      <c r="J111" s="253"/>
      <c r="K111" s="253"/>
      <c r="L111" s="253"/>
      <c r="M111" s="254"/>
      <c r="N111" s="255" t="str">
        <f>IFERROR(VLOOKUP(Karakterlap!R47,tul,2,0),"")</f>
        <v>Aka</v>
      </c>
      <c r="O111" s="256"/>
      <c r="P111" s="257" t="str">
        <f>IFERROR(VLOOKUP(Karakterlap!S47,tul,2,0),"")</f>
        <v>Fiz</v>
      </c>
      <c r="Q111" s="256"/>
      <c r="R111" s="255" t="str">
        <f>IF(Karakterlap!V47&lt;&gt;"",Karakterlap!V47,"")</f>
        <v/>
      </c>
      <c r="S111" s="256"/>
      <c r="T111" s="255">
        <f>IF(Karakterlap!W47&lt;&gt;"",Karakterlap!W47,"")</f>
        <v>-10</v>
      </c>
      <c r="U111" s="256"/>
      <c r="V111" s="255">
        <f>IF(Karakterlap!X47&lt;&gt;"",Karakterlap!X47,"")</f>
        <v>0</v>
      </c>
      <c r="W111" s="256"/>
      <c r="X111" s="255" t="str">
        <f>IF(Karakterlap!Z47&lt;&gt;0,Karakterlap!Z47,"")</f>
        <v/>
      </c>
      <c r="Y111" s="257"/>
      <c r="Z111" s="256"/>
    </row>
    <row r="112" spans="2:26" ht="17.100000000000001" customHeight="1" x14ac:dyDescent="0.25">
      <c r="B112" s="175"/>
      <c r="C112" s="252" t="str">
        <f>Karakterlap!N48&amp;" "&amp;Karakterlap!O48</f>
        <v xml:space="preserve">Nyelvismeret - </v>
      </c>
      <c r="D112" s="253"/>
      <c r="E112" s="253"/>
      <c r="F112" s="253"/>
      <c r="G112" s="253"/>
      <c r="H112" s="253"/>
      <c r="I112" s="253"/>
      <c r="J112" s="253"/>
      <c r="K112" s="253"/>
      <c r="L112" s="253"/>
      <c r="M112" s="254"/>
      <c r="N112" s="255" t="str">
        <f>IFERROR(VLOOKUP(Karakterlap!R48,tul,2,0),"")</f>
        <v>Int</v>
      </c>
      <c r="O112" s="256"/>
      <c r="P112" s="257" t="str">
        <f>IFERROR(VLOOKUP(Karakterlap!S48,tul,2,0),"")</f>
        <v>Ügy</v>
      </c>
      <c r="Q112" s="256"/>
      <c r="R112" s="255" t="str">
        <f>IF(Karakterlap!V48&lt;&gt;"",Karakterlap!V48,"")</f>
        <v/>
      </c>
      <c r="S112" s="256"/>
      <c r="T112" s="255">
        <f>IF(Karakterlap!W48&lt;&gt;"",Karakterlap!W48,"")</f>
        <v>-10</v>
      </c>
      <c r="U112" s="256"/>
      <c r="V112" s="255">
        <f>IF(Karakterlap!X48&lt;&gt;"",Karakterlap!X48,"")</f>
        <v>0</v>
      </c>
      <c r="W112" s="256"/>
      <c r="X112" s="255" t="str">
        <f>IF(Karakterlap!Z48&lt;&gt;0,Karakterlap!Z48,"")</f>
        <v/>
      </c>
      <c r="Y112" s="257"/>
      <c r="Z112" s="256"/>
    </row>
    <row r="113" spans="2:26" ht="17.100000000000001" customHeight="1" x14ac:dyDescent="0.25">
      <c r="B113" s="175"/>
      <c r="C113" s="252" t="str">
        <f>Karakterlap!N49&amp;" "&amp;Karakterlap!O49</f>
        <v xml:space="preserve">Nyelvismeret - </v>
      </c>
      <c r="D113" s="253"/>
      <c r="E113" s="253"/>
      <c r="F113" s="253"/>
      <c r="G113" s="253"/>
      <c r="H113" s="253"/>
      <c r="I113" s="253"/>
      <c r="J113" s="253"/>
      <c r="K113" s="253"/>
      <c r="L113" s="253"/>
      <c r="M113" s="254"/>
      <c r="N113" s="255" t="str">
        <f>IFERROR(VLOOKUP(Karakterlap!R49,tul,2,0),"")</f>
        <v>Int</v>
      </c>
      <c r="O113" s="256"/>
      <c r="P113" s="257" t="str">
        <f>IFERROR(VLOOKUP(Karakterlap!S49,tul,2,0),"")</f>
        <v>Ügy</v>
      </c>
      <c r="Q113" s="256"/>
      <c r="R113" s="255" t="str">
        <f>IF(Karakterlap!V49&lt;&gt;"",Karakterlap!V49,"")</f>
        <v/>
      </c>
      <c r="S113" s="256"/>
      <c r="T113" s="255">
        <f>IF(Karakterlap!W49&lt;&gt;"",Karakterlap!W49,"")</f>
        <v>-10</v>
      </c>
      <c r="U113" s="256"/>
      <c r="V113" s="255">
        <f>IF(Karakterlap!X49&lt;&gt;"",Karakterlap!X49,"")</f>
        <v>0</v>
      </c>
      <c r="W113" s="256"/>
      <c r="X113" s="255" t="str">
        <f>IF(Karakterlap!Z49&lt;&gt;0,Karakterlap!Z49,"")</f>
        <v/>
      </c>
      <c r="Y113" s="257"/>
      <c r="Z113" s="256"/>
    </row>
    <row r="114" spans="2:26" ht="17.100000000000001" customHeight="1" x14ac:dyDescent="0.25">
      <c r="B114" s="175"/>
      <c r="C114" s="252" t="str">
        <f>Karakterlap!N50&amp;" "&amp;Karakterlap!O50</f>
        <v xml:space="preserve">Nyelvismeret - </v>
      </c>
      <c r="D114" s="253"/>
      <c r="E114" s="253"/>
      <c r="F114" s="253"/>
      <c r="G114" s="253"/>
      <c r="H114" s="253"/>
      <c r="I114" s="253"/>
      <c r="J114" s="253"/>
      <c r="K114" s="253"/>
      <c r="L114" s="253"/>
      <c r="M114" s="254"/>
      <c r="N114" s="255" t="str">
        <f>IFERROR(VLOOKUP(Karakterlap!R50,tul,2,0),"")</f>
        <v>Int</v>
      </c>
      <c r="O114" s="256"/>
      <c r="P114" s="257" t="str">
        <f>IFERROR(VLOOKUP(Karakterlap!S50,tul,2,0),"")</f>
        <v>Ügy</v>
      </c>
      <c r="Q114" s="256"/>
      <c r="R114" s="255" t="str">
        <f>IF(Karakterlap!V50&lt;&gt;"",Karakterlap!V50,"")</f>
        <v/>
      </c>
      <c r="S114" s="256"/>
      <c r="T114" s="255">
        <f>IF(Karakterlap!W50&lt;&gt;"",Karakterlap!W50,"")</f>
        <v>-10</v>
      </c>
      <c r="U114" s="256"/>
      <c r="V114" s="255">
        <f>IF(Karakterlap!X50&lt;&gt;"",Karakterlap!X50,"")</f>
        <v>0</v>
      </c>
      <c r="W114" s="256"/>
      <c r="X114" s="255" t="str">
        <f>IF(Karakterlap!Z50&lt;&gt;0,Karakterlap!Z50,"")</f>
        <v/>
      </c>
      <c r="Y114" s="257"/>
      <c r="Z114" s="256"/>
    </row>
    <row r="115" spans="2:26" ht="17.100000000000001" customHeight="1" x14ac:dyDescent="0.25">
      <c r="B115" s="175"/>
      <c r="C115" s="252" t="str">
        <f>Karakterlap!N51&amp;" "&amp;Karakterlap!O51</f>
        <v xml:space="preserve">Agrártudományok - </v>
      </c>
      <c r="D115" s="253"/>
      <c r="E115" s="253"/>
      <c r="F115" s="253"/>
      <c r="G115" s="253"/>
      <c r="H115" s="253"/>
      <c r="I115" s="253"/>
      <c r="J115" s="253"/>
      <c r="K115" s="253"/>
      <c r="L115" s="253"/>
      <c r="M115" s="254"/>
      <c r="N115" s="255" t="str">
        <f>IFERROR(VLOOKUP(Karakterlap!R51,tul,2,0),"")</f>
        <v>Int</v>
      </c>
      <c r="O115" s="256"/>
      <c r="P115" s="257" t="str">
        <f>IFERROR(VLOOKUP(Karakterlap!S51,tul,2,0),"")</f>
        <v>Int</v>
      </c>
      <c r="Q115" s="256"/>
      <c r="R115" s="255" t="str">
        <f>IF(Karakterlap!V51&lt;&gt;"",Karakterlap!V51,"")</f>
        <v/>
      </c>
      <c r="S115" s="256"/>
      <c r="T115" s="255">
        <f>IF(Karakterlap!W51&lt;&gt;"",Karakterlap!W51,"")</f>
        <v>-10</v>
      </c>
      <c r="U115" s="256"/>
      <c r="V115" s="255">
        <f>IF(Karakterlap!X51&lt;&gt;"",Karakterlap!X51,"")</f>
        <v>0</v>
      </c>
      <c r="W115" s="256"/>
      <c r="X115" s="255" t="str">
        <f>IF(Karakterlap!Z51&lt;&gt;0,Karakterlap!Z51,"")</f>
        <v/>
      </c>
      <c r="Y115" s="257"/>
      <c r="Z115" s="256"/>
    </row>
    <row r="116" spans="2:26" ht="17.100000000000001" customHeight="1" x14ac:dyDescent="0.25">
      <c r="B116" s="175"/>
      <c r="C116" s="252" t="str">
        <f>Karakterlap!N52&amp;" "&amp;Karakterlap!O52</f>
        <v xml:space="preserve">Bölcsésztudományok - </v>
      </c>
      <c r="D116" s="253"/>
      <c r="E116" s="253"/>
      <c r="F116" s="253"/>
      <c r="G116" s="253"/>
      <c r="H116" s="253"/>
      <c r="I116" s="253"/>
      <c r="J116" s="253"/>
      <c r="K116" s="253"/>
      <c r="L116" s="253"/>
      <c r="M116" s="254"/>
      <c r="N116" s="255" t="str">
        <f>IFERROR(VLOOKUP(Karakterlap!R52,tul,2,0),"")</f>
        <v>Int</v>
      </c>
      <c r="O116" s="256"/>
      <c r="P116" s="257" t="str">
        <f>IFERROR(VLOOKUP(Karakterlap!S52,tul,2,0),"")</f>
        <v>Int</v>
      </c>
      <c r="Q116" s="256"/>
      <c r="R116" s="255" t="str">
        <f>IF(Karakterlap!V52&lt;&gt;"",Karakterlap!V52,"")</f>
        <v/>
      </c>
      <c r="S116" s="256"/>
      <c r="T116" s="255">
        <f>IF(Karakterlap!W52&lt;&gt;"",Karakterlap!W52,"")</f>
        <v>-10</v>
      </c>
      <c r="U116" s="256"/>
      <c r="V116" s="255">
        <f>IF(Karakterlap!X52&lt;&gt;"",Karakterlap!X52,"")</f>
        <v>0</v>
      </c>
      <c r="W116" s="256"/>
      <c r="X116" s="255" t="str">
        <f>IF(Karakterlap!Z52&lt;&gt;0,Karakterlap!Z52,"")</f>
        <v/>
      </c>
      <c r="Y116" s="257"/>
      <c r="Z116" s="256"/>
    </row>
    <row r="117" spans="2:26" ht="17.100000000000001" customHeight="1" x14ac:dyDescent="0.25">
      <c r="B117" s="175"/>
      <c r="C117" s="252" t="str">
        <f>Karakterlap!N53&amp;" "&amp;Karakterlap!O53</f>
        <v xml:space="preserve">Diplomácia </v>
      </c>
      <c r="D117" s="253"/>
      <c r="E117" s="253"/>
      <c r="F117" s="253"/>
      <c r="G117" s="253"/>
      <c r="H117" s="253"/>
      <c r="I117" s="253"/>
      <c r="J117" s="253"/>
      <c r="K117" s="253"/>
      <c r="L117" s="253"/>
      <c r="M117" s="254"/>
      <c r="N117" s="255" t="str">
        <f>IFERROR(VLOOKUP(Karakterlap!R53,tul,2,0),"")</f>
        <v>Int</v>
      </c>
      <c r="O117" s="256"/>
      <c r="P117" s="257" t="str">
        <f>IFERROR(VLOOKUP(Karakterlap!S53,tul,2,0),"")</f>
        <v>Aka</v>
      </c>
      <c r="Q117" s="256"/>
      <c r="R117" s="255" t="str">
        <f>IF(Karakterlap!V53&lt;&gt;"",Karakterlap!V53,"")</f>
        <v/>
      </c>
      <c r="S117" s="256"/>
      <c r="T117" s="255">
        <f>IF(Karakterlap!W53&lt;&gt;"",Karakterlap!W53,"")</f>
        <v>-10</v>
      </c>
      <c r="U117" s="256"/>
      <c r="V117" s="255">
        <f>IF(Karakterlap!X53&lt;&gt;"",Karakterlap!X53,"")</f>
        <v>0</v>
      </c>
      <c r="W117" s="256"/>
      <c r="X117" s="255" t="str">
        <f>IF(Karakterlap!Z53&lt;&gt;0,Karakterlap!Z53,"")</f>
        <v/>
      </c>
      <c r="Y117" s="257"/>
      <c r="Z117" s="256"/>
    </row>
    <row r="118" spans="2:26" ht="17.100000000000001" customHeight="1" x14ac:dyDescent="0.25">
      <c r="B118" s="175"/>
      <c r="C118" s="252" t="str">
        <f>Karakterlap!N54&amp;" "&amp;Karakterlap!O54</f>
        <v xml:space="preserve">Mágikus Tudományok - </v>
      </c>
      <c r="D118" s="253"/>
      <c r="E118" s="253"/>
      <c r="F118" s="253"/>
      <c r="G118" s="253"/>
      <c r="H118" s="253"/>
      <c r="I118" s="253"/>
      <c r="J118" s="253"/>
      <c r="K118" s="253"/>
      <c r="L118" s="253"/>
      <c r="M118" s="254"/>
      <c r="N118" s="255" t="str">
        <f>IFERROR(VLOOKUP(Karakterlap!R54,tul,2,0),"")</f>
        <v>Int</v>
      </c>
      <c r="O118" s="256"/>
      <c r="P118" s="257" t="str">
        <f>IFERROR(VLOOKUP(Karakterlap!S54,tul,2,0),"")</f>
        <v>Int</v>
      </c>
      <c r="Q118" s="256"/>
      <c r="R118" s="255" t="str">
        <f>IF(Karakterlap!V54&lt;&gt;"",Karakterlap!V54,"")</f>
        <v/>
      </c>
      <c r="S118" s="256"/>
      <c r="T118" s="255">
        <f>IF(Karakterlap!W54&lt;&gt;"",Karakterlap!W54,"")</f>
        <v>-10</v>
      </c>
      <c r="U118" s="256"/>
      <c r="V118" s="255">
        <f>IF(Karakterlap!X54&lt;&gt;"",Karakterlap!X54,"")</f>
        <v>0</v>
      </c>
      <c r="W118" s="256"/>
      <c r="X118" s="255" t="str">
        <f>IF(Karakterlap!Z54&lt;&gt;0,Karakterlap!Z54,"")</f>
        <v/>
      </c>
      <c r="Y118" s="257"/>
      <c r="Z118" s="256"/>
    </row>
    <row r="119" spans="2:26" ht="17.100000000000001" customHeight="1" x14ac:dyDescent="0.25">
      <c r="B119" s="175"/>
      <c r="C119" s="252" t="str">
        <f>Karakterlap!N55&amp;" "&amp;Karakterlap!O55</f>
        <v xml:space="preserve">Mágikus Tudományok - </v>
      </c>
      <c r="D119" s="253"/>
      <c r="E119" s="253"/>
      <c r="F119" s="253"/>
      <c r="G119" s="253"/>
      <c r="H119" s="253"/>
      <c r="I119" s="253"/>
      <c r="J119" s="253"/>
      <c r="K119" s="253"/>
      <c r="L119" s="253"/>
      <c r="M119" s="254"/>
      <c r="N119" s="255" t="str">
        <f>IFERROR(VLOOKUP(Karakterlap!R55,tul,2,0),"")</f>
        <v>Int</v>
      </c>
      <c r="O119" s="256"/>
      <c r="P119" s="257" t="str">
        <f>IFERROR(VLOOKUP(Karakterlap!S55,tul,2,0),"")</f>
        <v>Int</v>
      </c>
      <c r="Q119" s="256"/>
      <c r="R119" s="255" t="str">
        <f>IF(Karakterlap!V55&lt;&gt;"",Karakterlap!V55,"")</f>
        <v/>
      </c>
      <c r="S119" s="256"/>
      <c r="T119" s="255">
        <f>IF(Karakterlap!W55&lt;&gt;"",Karakterlap!W55,"")</f>
        <v>-10</v>
      </c>
      <c r="U119" s="256"/>
      <c r="V119" s="255">
        <f>IF(Karakterlap!X55&lt;&gt;"",Karakterlap!X55,"")</f>
        <v>0</v>
      </c>
      <c r="W119" s="256"/>
      <c r="X119" s="255" t="str">
        <f>IF(Karakterlap!Z55&lt;&gt;0,Karakterlap!Z55,"")</f>
        <v/>
      </c>
      <c r="Y119" s="257"/>
      <c r="Z119" s="256"/>
    </row>
    <row r="120" spans="2:26" ht="17.100000000000001" customHeight="1" x14ac:dyDescent="0.25">
      <c r="B120" s="175"/>
      <c r="C120" s="252" t="str">
        <f>Karakterlap!N56&amp;" "&amp;Karakterlap!O56</f>
        <v xml:space="preserve">Mágikus Tudományok - </v>
      </c>
      <c r="D120" s="253"/>
      <c r="E120" s="253"/>
      <c r="F120" s="253"/>
      <c r="G120" s="253"/>
      <c r="H120" s="253"/>
      <c r="I120" s="253"/>
      <c r="J120" s="253"/>
      <c r="K120" s="253"/>
      <c r="L120" s="253"/>
      <c r="M120" s="254"/>
      <c r="N120" s="255" t="str">
        <f>IFERROR(VLOOKUP(Karakterlap!R56,tul,2,0),"")</f>
        <v>Int</v>
      </c>
      <c r="O120" s="256"/>
      <c r="P120" s="257" t="str">
        <f>IFERROR(VLOOKUP(Karakterlap!S56,tul,2,0),"")</f>
        <v>Int</v>
      </c>
      <c r="Q120" s="256"/>
      <c r="R120" s="255" t="str">
        <f>IF(Karakterlap!V56&lt;&gt;"",Karakterlap!V56,"")</f>
        <v/>
      </c>
      <c r="S120" s="256"/>
      <c r="T120" s="255">
        <f>IF(Karakterlap!W56&lt;&gt;"",Karakterlap!W56,"")</f>
        <v>-10</v>
      </c>
      <c r="U120" s="256"/>
      <c r="V120" s="255">
        <f>IF(Karakterlap!X56&lt;&gt;"",Karakterlap!X56,"")</f>
        <v>0</v>
      </c>
      <c r="W120" s="256"/>
      <c r="X120" s="255" t="str">
        <f>IF(Karakterlap!Z56&lt;&gt;0,Karakterlap!Z56,"")</f>
        <v/>
      </c>
      <c r="Y120" s="257"/>
      <c r="Z120" s="256"/>
    </row>
    <row r="121" spans="2:26" ht="17.100000000000001" customHeight="1" x14ac:dyDescent="0.25">
      <c r="B121" s="175"/>
      <c r="C121" s="252" t="str">
        <f>Karakterlap!N57&amp;" "&amp;Karakterlap!O57</f>
        <v xml:space="preserve">Műszaki tudományok - </v>
      </c>
      <c r="D121" s="253"/>
      <c r="E121" s="253"/>
      <c r="F121" s="253"/>
      <c r="G121" s="253"/>
      <c r="H121" s="253"/>
      <c r="I121" s="253"/>
      <c r="J121" s="253"/>
      <c r="K121" s="253"/>
      <c r="L121" s="253"/>
      <c r="M121" s="254"/>
      <c r="N121" s="255" t="str">
        <f>IFERROR(VLOOKUP(Karakterlap!R57,tul,2,0),"")</f>
        <v>Int</v>
      </c>
      <c r="O121" s="256"/>
      <c r="P121" s="257" t="str">
        <f>IFERROR(VLOOKUP(Karakterlap!S57,tul,2,0),"")</f>
        <v>Int</v>
      </c>
      <c r="Q121" s="256"/>
      <c r="R121" s="255" t="str">
        <f>IF(Karakterlap!V57&lt;&gt;"",Karakterlap!V57,"")</f>
        <v/>
      </c>
      <c r="S121" s="256"/>
      <c r="T121" s="255">
        <f>IF(Karakterlap!W57&lt;&gt;"",Karakterlap!W57,"")</f>
        <v>-10</v>
      </c>
      <c r="U121" s="256"/>
      <c r="V121" s="255">
        <f>IF(Karakterlap!X57&lt;&gt;"",Karakterlap!X57,"")</f>
        <v>0</v>
      </c>
      <c r="W121" s="256"/>
      <c r="X121" s="255" t="str">
        <f>IF(Karakterlap!Z57&lt;&gt;0,Karakterlap!Z57,"")</f>
        <v/>
      </c>
      <c r="Y121" s="257"/>
      <c r="Z121" s="256"/>
    </row>
    <row r="122" spans="2:26" ht="17.100000000000001" customHeight="1" x14ac:dyDescent="0.25">
      <c r="B122" s="175"/>
      <c r="C122" s="252" t="str">
        <f>Karakterlap!N58&amp;" "&amp;Karakterlap!O58</f>
        <v xml:space="preserve">Művészettudományok - </v>
      </c>
      <c r="D122" s="253"/>
      <c r="E122" s="253"/>
      <c r="F122" s="253"/>
      <c r="G122" s="253"/>
      <c r="H122" s="253"/>
      <c r="I122" s="253"/>
      <c r="J122" s="253"/>
      <c r="K122" s="253"/>
      <c r="L122" s="253"/>
      <c r="M122" s="254"/>
      <c r="N122" s="255" t="str">
        <f>IFERROR(VLOOKUP(Karakterlap!R58,tul,2,0),"")</f>
        <v>Int</v>
      </c>
      <c r="O122" s="256"/>
      <c r="P122" s="257" t="str">
        <f>IFERROR(VLOOKUP(Karakterlap!S58,tul,2,0),"")</f>
        <v>Int</v>
      </c>
      <c r="Q122" s="256"/>
      <c r="R122" s="255" t="str">
        <f>IF(Karakterlap!V58&lt;&gt;"",Karakterlap!V58,"")</f>
        <v/>
      </c>
      <c r="S122" s="256"/>
      <c r="T122" s="255">
        <f>IF(Karakterlap!W58&lt;&gt;"",Karakterlap!W58,"")</f>
        <v>-10</v>
      </c>
      <c r="U122" s="256"/>
      <c r="V122" s="255">
        <f>IF(Karakterlap!X58&lt;&gt;"",Karakterlap!X58,"")</f>
        <v>0</v>
      </c>
      <c r="W122" s="256"/>
      <c r="X122" s="255" t="str">
        <f>IF(Karakterlap!Z58&lt;&gt;0,Karakterlap!Z58,"")</f>
        <v/>
      </c>
      <c r="Y122" s="257"/>
      <c r="Z122" s="256"/>
    </row>
    <row r="123" spans="2:26" ht="17.100000000000001" customHeight="1" x14ac:dyDescent="0.25">
      <c r="B123" s="175"/>
      <c r="C123" s="252" t="str">
        <f>Karakterlap!N59&amp;" "&amp;Karakterlap!O59</f>
        <v xml:space="preserve">Orvostudományok - </v>
      </c>
      <c r="D123" s="253"/>
      <c r="E123" s="253"/>
      <c r="F123" s="253"/>
      <c r="G123" s="253"/>
      <c r="H123" s="253"/>
      <c r="I123" s="253"/>
      <c r="J123" s="253"/>
      <c r="K123" s="253"/>
      <c r="L123" s="253"/>
      <c r="M123" s="254"/>
      <c r="N123" s="255" t="str">
        <f>IFERROR(VLOOKUP(Karakterlap!R59,tul,2,0),"")</f>
        <v>Int</v>
      </c>
      <c r="O123" s="256"/>
      <c r="P123" s="257" t="str">
        <f>IFERROR(VLOOKUP(Karakterlap!S59,tul,2,0),"")</f>
        <v>Int</v>
      </c>
      <c r="Q123" s="256"/>
      <c r="R123" s="255" t="str">
        <f>IF(Karakterlap!V59&lt;&gt;"",Karakterlap!V59,"")</f>
        <v/>
      </c>
      <c r="S123" s="256"/>
      <c r="T123" s="255">
        <f>IF(Karakterlap!W59&lt;&gt;"",Karakterlap!W59,"")</f>
        <v>-10</v>
      </c>
      <c r="U123" s="256"/>
      <c r="V123" s="255">
        <f>IF(Karakterlap!X59&lt;&gt;"",Karakterlap!X59,"")</f>
        <v>0</v>
      </c>
      <c r="W123" s="256"/>
      <c r="X123" s="255" t="str">
        <f>IF(Karakterlap!Z59&lt;&gt;0,Karakterlap!Z59,"")</f>
        <v/>
      </c>
      <c r="Y123" s="257"/>
      <c r="Z123" s="256"/>
    </row>
    <row r="124" spans="2:26" ht="17.100000000000001" customHeight="1" x14ac:dyDescent="0.25">
      <c r="B124" s="175"/>
      <c r="C124" s="252" t="str">
        <f>Karakterlap!N60&amp;" "&amp;Karakterlap!O60</f>
        <v xml:space="preserve">Stratégia </v>
      </c>
      <c r="D124" s="253"/>
      <c r="E124" s="253"/>
      <c r="F124" s="253"/>
      <c r="G124" s="253"/>
      <c r="H124" s="253"/>
      <c r="I124" s="253"/>
      <c r="J124" s="253"/>
      <c r="K124" s="253"/>
      <c r="L124" s="253"/>
      <c r="M124" s="254"/>
      <c r="N124" s="255" t="str">
        <f>IFERROR(VLOOKUP(Karakterlap!R60,tul,2,0),"")</f>
        <v>Int</v>
      </c>
      <c r="O124" s="256"/>
      <c r="P124" s="257" t="str">
        <f>IFERROR(VLOOKUP(Karakterlap!S60,tul,2,0),"")</f>
        <v>Aka</v>
      </c>
      <c r="Q124" s="256"/>
      <c r="R124" s="255" t="str">
        <f>IF(Karakterlap!V60&lt;&gt;"",Karakterlap!V60,"")</f>
        <v/>
      </c>
      <c r="S124" s="256"/>
      <c r="T124" s="255">
        <f>IF(Karakterlap!W60&lt;&gt;"",Karakterlap!W60,"")</f>
        <v>-10</v>
      </c>
      <c r="U124" s="256"/>
      <c r="V124" s="255">
        <f>IF(Karakterlap!X60&lt;&gt;"",Karakterlap!X60,"")</f>
        <v>0</v>
      </c>
      <c r="W124" s="256"/>
      <c r="X124" s="255" t="str">
        <f>IF(Karakterlap!Z60&lt;&gt;0,Karakterlap!Z60,"")</f>
        <v/>
      </c>
      <c r="Y124" s="257"/>
      <c r="Z124" s="256"/>
    </row>
    <row r="125" spans="2:26" ht="17.100000000000001" customHeight="1" x14ac:dyDescent="0.25">
      <c r="B125" s="175"/>
      <c r="C125" s="252" t="str">
        <f>Karakterlap!N61&amp;" "&amp;Karakterlap!O61</f>
        <v xml:space="preserve">Társadalomtudományok - </v>
      </c>
      <c r="D125" s="253"/>
      <c r="E125" s="253"/>
      <c r="F125" s="253"/>
      <c r="G125" s="253"/>
      <c r="H125" s="253"/>
      <c r="I125" s="253"/>
      <c r="J125" s="253"/>
      <c r="K125" s="253"/>
      <c r="L125" s="253"/>
      <c r="M125" s="254"/>
      <c r="N125" s="255" t="str">
        <f>IFERROR(VLOOKUP(Karakterlap!R61,tul,2,0),"")</f>
        <v>Int</v>
      </c>
      <c r="O125" s="256"/>
      <c r="P125" s="257" t="str">
        <f>IFERROR(VLOOKUP(Karakterlap!S61,tul,2,0),"")</f>
        <v>Int</v>
      </c>
      <c r="Q125" s="256"/>
      <c r="R125" s="255" t="str">
        <f>IF(Karakterlap!V61&lt;&gt;"",Karakterlap!V61,"")</f>
        <v/>
      </c>
      <c r="S125" s="256"/>
      <c r="T125" s="255">
        <f>IF(Karakterlap!W61&lt;&gt;"",Karakterlap!W61,"")</f>
        <v>-10</v>
      </c>
      <c r="U125" s="256"/>
      <c r="V125" s="255">
        <f>IF(Karakterlap!X61&lt;&gt;"",Karakterlap!X61,"")</f>
        <v>0</v>
      </c>
      <c r="W125" s="256"/>
      <c r="X125" s="255" t="str">
        <f>IF(Karakterlap!Z61&lt;&gt;0,Karakterlap!Z61,"")</f>
        <v/>
      </c>
      <c r="Y125" s="257"/>
      <c r="Z125" s="256"/>
    </row>
    <row r="126" spans="2:26" ht="17.100000000000001" customHeight="1" x14ac:dyDescent="0.25">
      <c r="B126" s="175"/>
      <c r="C126" s="252" t="str">
        <f>Karakterlap!N62&amp;" "&amp;Karakterlap!O62</f>
        <v xml:space="preserve">Természettudományok - </v>
      </c>
      <c r="D126" s="253"/>
      <c r="E126" s="253"/>
      <c r="F126" s="253"/>
      <c r="G126" s="253"/>
      <c r="H126" s="253"/>
      <c r="I126" s="253"/>
      <c r="J126" s="253"/>
      <c r="K126" s="253"/>
      <c r="L126" s="253"/>
      <c r="M126" s="254"/>
      <c r="N126" s="255" t="str">
        <f>IFERROR(VLOOKUP(Karakterlap!R62,tul,2,0),"")</f>
        <v>Int</v>
      </c>
      <c r="O126" s="256"/>
      <c r="P126" s="257" t="str">
        <f>IFERROR(VLOOKUP(Karakterlap!S62,tul,2,0),"")</f>
        <v>Int</v>
      </c>
      <c r="Q126" s="256"/>
      <c r="R126" s="255" t="str">
        <f>IF(Karakterlap!V62&lt;&gt;"",Karakterlap!V62,"")</f>
        <v/>
      </c>
      <c r="S126" s="256"/>
      <c r="T126" s="255">
        <f>IF(Karakterlap!W62&lt;&gt;"",Karakterlap!W62,"")</f>
        <v>-10</v>
      </c>
      <c r="U126" s="256"/>
      <c r="V126" s="255">
        <f>IF(Karakterlap!X62&lt;&gt;"",Karakterlap!X62,"")</f>
        <v>0</v>
      </c>
      <c r="W126" s="256"/>
      <c r="X126" s="255" t="str">
        <f>IF(Karakterlap!Z62&lt;&gt;0,Karakterlap!Z62,"")</f>
        <v/>
      </c>
      <c r="Y126" s="257"/>
      <c r="Z126" s="256"/>
    </row>
    <row r="127" spans="2:26" ht="17.100000000000001" customHeight="1" x14ac:dyDescent="0.25">
      <c r="B127" s="175"/>
      <c r="C127" s="252" t="str">
        <f>Karakterlap!N63&amp;" "&amp;Karakterlap!O63</f>
        <v xml:space="preserve">Abeomágia </v>
      </c>
      <c r="D127" s="253"/>
      <c r="E127" s="253"/>
      <c r="F127" s="253"/>
      <c r="G127" s="253"/>
      <c r="H127" s="253"/>
      <c r="I127" s="253"/>
      <c r="J127" s="253"/>
      <c r="K127" s="253"/>
      <c r="L127" s="253"/>
      <c r="M127" s="254"/>
      <c r="N127" s="255" t="str">
        <f>IFERROR(VLOOKUP(Karakterlap!R63,tul,2,0),"")</f>
        <v>Mág</v>
      </c>
      <c r="O127" s="256"/>
      <c r="P127" s="257" t="str">
        <f>IFERROR(VLOOKUP(Karakterlap!S63,tul,2,0),"")</f>
        <v>Aka</v>
      </c>
      <c r="Q127" s="256"/>
      <c r="R127" s="255" t="str">
        <f>IF(Karakterlap!V63&lt;&gt;"",Karakterlap!V63,"")</f>
        <v/>
      </c>
      <c r="S127" s="256"/>
      <c r="T127" s="255">
        <f>IF(Karakterlap!W63&lt;&gt;"",Karakterlap!W63,"")</f>
        <v>-10</v>
      </c>
      <c r="U127" s="256"/>
      <c r="V127" s="255">
        <f>IF(Karakterlap!X63&lt;&gt;"",Karakterlap!X63,"")</f>
        <v>0</v>
      </c>
      <c r="W127" s="256"/>
      <c r="X127" s="255" t="str">
        <f>IF(Karakterlap!Z63&lt;&gt;0,Karakterlap!Z63,"")</f>
        <v/>
      </c>
      <c r="Y127" s="257"/>
      <c r="Z127" s="256"/>
    </row>
    <row r="128" spans="2:26" ht="17.100000000000001" customHeight="1" x14ac:dyDescent="0.25">
      <c r="B128" s="175"/>
      <c r="C128" s="252" t="str">
        <f>Karakterlap!N64&amp;" "&amp;Karakterlap!O64</f>
        <v xml:space="preserve">Asztrálmágia </v>
      </c>
      <c r="D128" s="253"/>
      <c r="E128" s="253"/>
      <c r="F128" s="253"/>
      <c r="G128" s="253"/>
      <c r="H128" s="253"/>
      <c r="I128" s="253"/>
      <c r="J128" s="253"/>
      <c r="K128" s="253"/>
      <c r="L128" s="253"/>
      <c r="M128" s="254"/>
      <c r="N128" s="255" t="str">
        <f>IFERROR(VLOOKUP(Karakterlap!R64,tul,2,0),"")</f>
        <v>Mág</v>
      </c>
      <c r="O128" s="256"/>
      <c r="P128" s="257" t="str">
        <f>IFERROR(VLOOKUP(Karakterlap!S64,tul,2,0),"")</f>
        <v>Int</v>
      </c>
      <c r="Q128" s="256"/>
      <c r="R128" s="255" t="str">
        <f>IF(Karakterlap!V64&lt;&gt;"",Karakterlap!V64,"")</f>
        <v/>
      </c>
      <c r="S128" s="256"/>
      <c r="T128" s="255">
        <f>IF(Karakterlap!W64&lt;&gt;"",Karakterlap!W64,"")</f>
        <v>-10</v>
      </c>
      <c r="U128" s="256"/>
      <c r="V128" s="255">
        <f>IF(Karakterlap!X64&lt;&gt;"",Karakterlap!X64,"")</f>
        <v>0</v>
      </c>
      <c r="W128" s="256"/>
      <c r="X128" s="255" t="str">
        <f>IF(Karakterlap!Z64&lt;&gt;0,Karakterlap!Z64,"")</f>
        <v/>
      </c>
      <c r="Y128" s="257"/>
      <c r="Z128" s="256"/>
    </row>
    <row r="129" spans="2:26" ht="17.100000000000001" customHeight="1" x14ac:dyDescent="0.25">
      <c r="B129" s="175"/>
      <c r="C129" s="252" t="str">
        <f>Karakterlap!N65&amp;" "&amp;Karakterlap!O65</f>
        <v xml:space="preserve">Bájitalok </v>
      </c>
      <c r="D129" s="253"/>
      <c r="E129" s="253"/>
      <c r="F129" s="253"/>
      <c r="G129" s="253"/>
      <c r="H129" s="253"/>
      <c r="I129" s="253"/>
      <c r="J129" s="253"/>
      <c r="K129" s="253"/>
      <c r="L129" s="253"/>
      <c r="M129" s="254"/>
      <c r="N129" s="255" t="str">
        <f>IFERROR(VLOOKUP(Karakterlap!R65,tul,2,0),"")</f>
        <v>Mág</v>
      </c>
      <c r="O129" s="256"/>
      <c r="P129" s="257" t="str">
        <f>IFERROR(VLOOKUP(Karakterlap!S65,tul,2,0),"")</f>
        <v>Ügy</v>
      </c>
      <c r="Q129" s="256"/>
      <c r="R129" s="255" t="str">
        <f>IF(Karakterlap!V65&lt;&gt;"",Karakterlap!V65,"")</f>
        <v/>
      </c>
      <c r="S129" s="256"/>
      <c r="T129" s="255">
        <f>IF(Karakterlap!W65&lt;&gt;"",Karakterlap!W65,"")</f>
        <v>-10</v>
      </c>
      <c r="U129" s="256"/>
      <c r="V129" s="255">
        <f>IF(Karakterlap!X65&lt;&gt;"",Karakterlap!X65,"")</f>
        <v>0</v>
      </c>
      <c r="W129" s="256"/>
      <c r="X129" s="255" t="str">
        <f>IF(Karakterlap!Z65&lt;&gt;0,Karakterlap!Z65,"")</f>
        <v/>
      </c>
      <c r="Y129" s="257"/>
      <c r="Z129" s="256"/>
    </row>
    <row r="130" spans="2:26" ht="17.100000000000001" customHeight="1" x14ac:dyDescent="0.25">
      <c r="B130" s="175"/>
      <c r="C130" s="252" t="str">
        <f>Karakterlap!N66&amp;" "&amp;Karakterlap!O66</f>
        <v xml:space="preserve">Idézés </v>
      </c>
      <c r="D130" s="253"/>
      <c r="E130" s="253"/>
      <c r="F130" s="253"/>
      <c r="G130" s="253"/>
      <c r="H130" s="253"/>
      <c r="I130" s="253"/>
      <c r="J130" s="253"/>
      <c r="K130" s="253"/>
      <c r="L130" s="253"/>
      <c r="M130" s="254"/>
      <c r="N130" s="255" t="str">
        <f>IFERROR(VLOOKUP(Karakterlap!R66,tul,2,0),"")</f>
        <v>Mág</v>
      </c>
      <c r="O130" s="256"/>
      <c r="P130" s="257" t="str">
        <f>IFERROR(VLOOKUP(Karakterlap!S66,tul,2,0),"")</f>
        <v>Mág</v>
      </c>
      <c r="Q130" s="256"/>
      <c r="R130" s="255" t="str">
        <f>IF(Karakterlap!V66&lt;&gt;"",Karakterlap!V66,"")</f>
        <v/>
      </c>
      <c r="S130" s="256"/>
      <c r="T130" s="255">
        <f>IF(Karakterlap!W66&lt;&gt;"",Karakterlap!W66,"")</f>
        <v>-10</v>
      </c>
      <c r="U130" s="256"/>
      <c r="V130" s="255">
        <f>IF(Karakterlap!X66&lt;&gt;"",Karakterlap!X66,"")</f>
        <v>0</v>
      </c>
      <c r="W130" s="256"/>
      <c r="X130" s="255" t="str">
        <f>IF(Karakterlap!Z66&lt;&gt;0,Karakterlap!Z66,"")</f>
        <v/>
      </c>
      <c r="Y130" s="257"/>
      <c r="Z130" s="256"/>
    </row>
    <row r="131" spans="2:26" ht="17.100000000000001" customHeight="1" x14ac:dyDescent="0.25">
      <c r="B131" s="175"/>
      <c r="C131" s="252" t="str">
        <f>Karakterlap!N67&amp;" "&amp;Karakterlap!O67</f>
        <v xml:space="preserve">Jóslás </v>
      </c>
      <c r="D131" s="253"/>
      <c r="E131" s="253"/>
      <c r="F131" s="253"/>
      <c r="G131" s="253"/>
      <c r="H131" s="253"/>
      <c r="I131" s="253"/>
      <c r="J131" s="253"/>
      <c r="K131" s="253"/>
      <c r="L131" s="253"/>
      <c r="M131" s="254"/>
      <c r="N131" s="255" t="str">
        <f>IFERROR(VLOOKUP(Karakterlap!R67,tul,2,0),"")</f>
        <v>Mág</v>
      </c>
      <c r="O131" s="256"/>
      <c r="P131" s="257" t="str">
        <f>IFERROR(VLOOKUP(Karakterlap!S67,tul,2,0),"")</f>
        <v>Int</v>
      </c>
      <c r="Q131" s="256"/>
      <c r="R131" s="255" t="str">
        <f>IF(Karakterlap!V67&lt;&gt;"",Karakterlap!V67,"")</f>
        <v/>
      </c>
      <c r="S131" s="256"/>
      <c r="T131" s="255">
        <f>IF(Karakterlap!W67&lt;&gt;"",Karakterlap!W67,"")</f>
        <v>-10</v>
      </c>
      <c r="U131" s="256"/>
      <c r="V131" s="255">
        <f>IF(Karakterlap!X67&lt;&gt;"",Karakterlap!X67,"")</f>
        <v>0</v>
      </c>
      <c r="W131" s="256"/>
      <c r="X131" s="255" t="str">
        <f>IF(Karakterlap!Z67&lt;&gt;0,Karakterlap!Z67,"")</f>
        <v/>
      </c>
      <c r="Y131" s="257"/>
      <c r="Z131" s="256"/>
    </row>
    <row r="132" spans="2:26" ht="17.100000000000001" customHeight="1" x14ac:dyDescent="0.25">
      <c r="B132" s="175"/>
      <c r="C132" s="252" t="str">
        <f>Karakterlap!N68&amp;" "&amp;Karakterlap!O68</f>
        <v xml:space="preserve">Mentálmágia </v>
      </c>
      <c r="D132" s="253"/>
      <c r="E132" s="253"/>
      <c r="F132" s="253"/>
      <c r="G132" s="253"/>
      <c r="H132" s="253"/>
      <c r="I132" s="253"/>
      <c r="J132" s="253"/>
      <c r="K132" s="253"/>
      <c r="L132" s="253"/>
      <c r="M132" s="254"/>
      <c r="N132" s="255" t="str">
        <f>IFERROR(VLOOKUP(Karakterlap!R68,tul,2,0),"")</f>
        <v>Mág</v>
      </c>
      <c r="O132" s="256"/>
      <c r="P132" s="257" t="str">
        <f>IFERROR(VLOOKUP(Karakterlap!S68,tul,2,0),"")</f>
        <v>Aka</v>
      </c>
      <c r="Q132" s="256"/>
      <c r="R132" s="255" t="str">
        <f>IF(Karakterlap!V68&lt;&gt;"",Karakterlap!V68,"")</f>
        <v/>
      </c>
      <c r="S132" s="256"/>
      <c r="T132" s="255">
        <f>IF(Karakterlap!W68&lt;&gt;"",Karakterlap!W68,"")</f>
        <v>-10</v>
      </c>
      <c r="U132" s="256"/>
      <c r="V132" s="255">
        <f>IF(Karakterlap!X68&lt;&gt;"",Karakterlap!X68,"")</f>
        <v>0</v>
      </c>
      <c r="W132" s="256"/>
      <c r="X132" s="255" t="str">
        <f>IF(Karakterlap!Z68&lt;&gt;0,Karakterlap!Z68,"")</f>
        <v/>
      </c>
      <c r="Y132" s="257"/>
      <c r="Z132" s="256"/>
    </row>
    <row r="133" spans="2:26" ht="17.100000000000001" customHeight="1" x14ac:dyDescent="0.25">
      <c r="B133" s="175"/>
      <c r="C133" s="252" t="str">
        <f>Karakterlap!N69&amp;" "&amp;Karakterlap!O69</f>
        <v xml:space="preserve">Távoljárás </v>
      </c>
      <c r="D133" s="253"/>
      <c r="E133" s="253"/>
      <c r="F133" s="253"/>
      <c r="G133" s="253"/>
      <c r="H133" s="253"/>
      <c r="I133" s="253"/>
      <c r="J133" s="253"/>
      <c r="K133" s="253"/>
      <c r="L133" s="253"/>
      <c r="M133" s="254"/>
      <c r="N133" s="255" t="str">
        <f>IFERROR(VLOOKUP(Karakterlap!R69,tul,2,0),"")</f>
        <v>Mág</v>
      </c>
      <c r="O133" s="256"/>
      <c r="P133" s="257" t="str">
        <f>IFERROR(VLOOKUP(Karakterlap!S69,tul,2,0),"")</f>
        <v>Int</v>
      </c>
      <c r="Q133" s="256"/>
      <c r="R133" s="255" t="str">
        <f>IF(Karakterlap!V69&lt;&gt;"",Karakterlap!V69,"")</f>
        <v/>
      </c>
      <c r="S133" s="256"/>
      <c r="T133" s="255">
        <f>IF(Karakterlap!W69&lt;&gt;"",Karakterlap!W69,"")</f>
        <v>-10</v>
      </c>
      <c r="U133" s="256"/>
      <c r="V133" s="255">
        <f>IF(Karakterlap!X69&lt;&gt;"",Karakterlap!X69,"")</f>
        <v>0</v>
      </c>
      <c r="W133" s="256"/>
      <c r="X133" s="255" t="str">
        <f>IF(Karakterlap!Z69&lt;&gt;0,Karakterlap!Z69,"")</f>
        <v/>
      </c>
      <c r="Y133" s="257"/>
      <c r="Z133" s="256"/>
    </row>
    <row r="134" spans="2:26" ht="17.100000000000001" customHeight="1" x14ac:dyDescent="0.25">
      <c r="B134" s="175"/>
      <c r="C134" s="252" t="str">
        <f>Karakterlap!N70&amp;" "&amp;Karakterlap!O70</f>
        <v xml:space="preserve">Tradíció </v>
      </c>
      <c r="D134" s="253"/>
      <c r="E134" s="253"/>
      <c r="F134" s="253"/>
      <c r="G134" s="253"/>
      <c r="H134" s="253"/>
      <c r="I134" s="253"/>
      <c r="J134" s="253"/>
      <c r="K134" s="253"/>
      <c r="L134" s="253"/>
      <c r="M134" s="254"/>
      <c r="N134" s="255" t="str">
        <f>IFERROR(VLOOKUP(Karakterlap!R70,tul,2,0),"")</f>
        <v>Mág</v>
      </c>
      <c r="O134" s="256"/>
      <c r="P134" s="257" t="str">
        <f>IFERROR(VLOOKUP(Karakterlap!S70,tul,2,0),"")</f>
        <v>Aka</v>
      </c>
      <c r="Q134" s="256"/>
      <c r="R134" s="255" t="str">
        <f>IF(Karakterlap!V70&lt;&gt;"",Karakterlap!V70,"")</f>
        <v/>
      </c>
      <c r="S134" s="256"/>
      <c r="T134" s="255">
        <f>IF(Karakterlap!W70&lt;&gt;"",Karakterlap!W70,"")</f>
        <v>-10</v>
      </c>
      <c r="U134" s="256"/>
      <c r="V134" s="255">
        <f>IF(Karakterlap!X70&lt;&gt;"",Karakterlap!X70,"")</f>
        <v>0</v>
      </c>
      <c r="W134" s="256"/>
      <c r="X134" s="255" t="str">
        <f>IF(Karakterlap!Z70&lt;&gt;0,Karakterlap!Z70,"")</f>
        <v/>
      </c>
      <c r="Y134" s="257"/>
      <c r="Z134" s="256"/>
    </row>
    <row r="135" spans="2:26" ht="17.100000000000001" customHeight="1" x14ac:dyDescent="0.25">
      <c r="B135" s="175"/>
      <c r="C135" s="252" t="str">
        <f>Karakterlap!N71&amp;" "&amp;Karakterlap!O71</f>
        <v xml:space="preserve">Átok </v>
      </c>
      <c r="D135" s="253"/>
      <c r="E135" s="253"/>
      <c r="F135" s="253"/>
      <c r="G135" s="253"/>
      <c r="H135" s="253"/>
      <c r="I135" s="253"/>
      <c r="J135" s="253"/>
      <c r="K135" s="253"/>
      <c r="L135" s="253"/>
      <c r="M135" s="254"/>
      <c r="N135" s="255" t="str">
        <f>IFERROR(VLOOKUP(Karakterlap!R71,tul,2,0),"")</f>
        <v>Mág</v>
      </c>
      <c r="O135" s="256"/>
      <c r="P135" s="257" t="str">
        <f>IFERROR(VLOOKUP(Karakterlap!S71,tul,2,0),"")</f>
        <v>Aka</v>
      </c>
      <c r="Q135" s="256"/>
      <c r="R135" s="255" t="str">
        <f>IF(Karakterlap!V71&lt;&gt;"",Karakterlap!V71,"")</f>
        <v/>
      </c>
      <c r="S135" s="256"/>
      <c r="T135" s="255">
        <f>IF(Karakterlap!W71&lt;&gt;"",Karakterlap!W71,"")</f>
        <v>-10</v>
      </c>
      <c r="U135" s="256"/>
      <c r="V135" s="255">
        <f>IF(Karakterlap!X71&lt;&gt;"",Karakterlap!X71,"")</f>
        <v>0</v>
      </c>
      <c r="W135" s="256"/>
      <c r="X135" s="255" t="str">
        <f>IF(Karakterlap!Z71&lt;&gt;0,Karakterlap!Z71,"")</f>
        <v/>
      </c>
      <c r="Y135" s="257"/>
      <c r="Z135" s="256"/>
    </row>
    <row r="136" spans="2:26" ht="17.100000000000001" customHeight="1" x14ac:dyDescent="0.25">
      <c r="B136" s="175"/>
      <c r="C136" s="252" t="str">
        <f>Karakterlap!N72&amp;" "&amp;Karakterlap!O72</f>
        <v xml:space="preserve">Átváltoztatás </v>
      </c>
      <c r="D136" s="253"/>
      <c r="E136" s="253"/>
      <c r="F136" s="253"/>
      <c r="G136" s="253"/>
      <c r="H136" s="253"/>
      <c r="I136" s="253"/>
      <c r="J136" s="253"/>
      <c r="K136" s="253"/>
      <c r="L136" s="253"/>
      <c r="M136" s="254"/>
      <c r="N136" s="255" t="str">
        <f>IFERROR(VLOOKUP(Karakterlap!R72,tul,2,0),"")</f>
        <v>Mág</v>
      </c>
      <c r="O136" s="256"/>
      <c r="P136" s="257" t="str">
        <f>IFERROR(VLOOKUP(Karakterlap!S72,tul,2,0),"")</f>
        <v>Aka</v>
      </c>
      <c r="Q136" s="256"/>
      <c r="R136" s="255" t="str">
        <f>IF(Karakterlap!V72&lt;&gt;"",Karakterlap!V72,"")</f>
        <v/>
      </c>
      <c r="S136" s="256"/>
      <c r="T136" s="255">
        <f>IF(Karakterlap!W72&lt;&gt;"",Karakterlap!W72,"")</f>
        <v>-10</v>
      </c>
      <c r="U136" s="256"/>
      <c r="V136" s="255">
        <f>IF(Karakterlap!X72&lt;&gt;"",Karakterlap!X72,"")</f>
        <v>0</v>
      </c>
      <c r="W136" s="256"/>
      <c r="X136" s="255" t="str">
        <f>IF(Karakterlap!Z72&lt;&gt;0,Karakterlap!Z72,"")</f>
        <v/>
      </c>
      <c r="Y136" s="257"/>
      <c r="Z136" s="256"/>
    </row>
    <row r="137" spans="2:26" ht="17.100000000000001" customHeight="1" x14ac:dyDescent="0.25">
      <c r="B137" s="175"/>
      <c r="C137" s="252" t="str">
        <f>Karakterlap!N73&amp;" "&amp;Karakterlap!O73</f>
        <v xml:space="preserve">Bűbáj </v>
      </c>
      <c r="D137" s="253"/>
      <c r="E137" s="253"/>
      <c r="F137" s="253"/>
      <c r="G137" s="253"/>
      <c r="H137" s="253"/>
      <c r="I137" s="253"/>
      <c r="J137" s="253"/>
      <c r="K137" s="253"/>
      <c r="L137" s="253"/>
      <c r="M137" s="254"/>
      <c r="N137" s="255" t="str">
        <f>IFERROR(VLOOKUP(Karakterlap!R73,tul,2,0),"")</f>
        <v>Mág</v>
      </c>
      <c r="O137" s="256"/>
      <c r="P137" s="257" t="str">
        <f>IFERROR(VLOOKUP(Karakterlap!S73,tul,2,0),"")</f>
        <v>Aka</v>
      </c>
      <c r="Q137" s="256"/>
      <c r="R137" s="255" t="str">
        <f>IF(Karakterlap!V73&lt;&gt;"",Karakterlap!V73,"")</f>
        <v/>
      </c>
      <c r="S137" s="256"/>
      <c r="T137" s="255">
        <f>IF(Karakterlap!W73&lt;&gt;"",Karakterlap!W73,"")</f>
        <v>-10</v>
      </c>
      <c r="U137" s="256"/>
      <c r="V137" s="255">
        <f>IF(Karakterlap!X73&lt;&gt;"",Karakterlap!X73,"")</f>
        <v>0</v>
      </c>
      <c r="W137" s="256"/>
      <c r="X137" s="255" t="str">
        <f>IF(Karakterlap!Z73&lt;&gt;0,Karakterlap!Z73,"")</f>
        <v/>
      </c>
      <c r="Y137" s="257"/>
      <c r="Z137" s="256"/>
    </row>
    <row r="138" spans="2:26" ht="17.100000000000001" customHeight="1" x14ac:dyDescent="0.25">
      <c r="B138" s="175"/>
      <c r="C138" s="252" t="str">
        <f>Karakterlap!N74&amp;" "&amp;Karakterlap!O74</f>
        <v xml:space="preserve">Igézés </v>
      </c>
      <c r="D138" s="253"/>
      <c r="E138" s="253"/>
      <c r="F138" s="253"/>
      <c r="G138" s="253"/>
      <c r="H138" s="253"/>
      <c r="I138" s="253"/>
      <c r="J138" s="253"/>
      <c r="K138" s="253"/>
      <c r="L138" s="253"/>
      <c r="M138" s="254"/>
      <c r="N138" s="255" t="str">
        <f>IFERROR(VLOOKUP(Karakterlap!R74,tul,2,0),"")</f>
        <v>Mág</v>
      </c>
      <c r="O138" s="256"/>
      <c r="P138" s="257" t="str">
        <f>IFERROR(VLOOKUP(Karakterlap!S74,tul,2,0),"")</f>
        <v>Aka</v>
      </c>
      <c r="Q138" s="256"/>
      <c r="R138" s="255" t="str">
        <f>IF(Karakterlap!V74&lt;&gt;"",Karakterlap!V74,"")</f>
        <v/>
      </c>
      <c r="S138" s="256"/>
      <c r="T138" s="255">
        <f>IF(Karakterlap!W74&lt;&gt;"",Karakterlap!W74,"")</f>
        <v>-10</v>
      </c>
      <c r="U138" s="256"/>
      <c r="V138" s="255">
        <f>IF(Karakterlap!X74&lt;&gt;"",Karakterlap!X74,"")</f>
        <v>0</v>
      </c>
      <c r="W138" s="256"/>
      <c r="X138" s="255" t="str">
        <f>IF(Karakterlap!Z74&lt;&gt;0,Karakterlap!Z74,"")</f>
        <v/>
      </c>
      <c r="Y138" s="257"/>
      <c r="Z138" s="256"/>
    </row>
    <row r="139" spans="2:26" ht="17.100000000000001" customHeight="1" x14ac:dyDescent="0.25">
      <c r="B139" s="175"/>
      <c r="C139" s="252" t="str">
        <f>Karakterlap!N75&amp;" "&amp;Karakterlap!O75</f>
        <v xml:space="preserve">Likantrópia </v>
      </c>
      <c r="D139" s="253"/>
      <c r="E139" s="253"/>
      <c r="F139" s="253"/>
      <c r="G139" s="253"/>
      <c r="H139" s="253"/>
      <c r="I139" s="253"/>
      <c r="J139" s="253"/>
      <c r="K139" s="253"/>
      <c r="L139" s="253"/>
      <c r="M139" s="254"/>
      <c r="N139" s="255" t="str">
        <f>IFERROR(VLOOKUP(Karakterlap!R75,tul,2,0),"")</f>
        <v>Int</v>
      </c>
      <c r="O139" s="256"/>
      <c r="P139" s="257" t="str">
        <f>IFERROR(VLOOKUP(Karakterlap!S75,tul,2,0),"")</f>
        <v>Aka</v>
      </c>
      <c r="Q139" s="256"/>
      <c r="R139" s="255" t="str">
        <f>IF(Karakterlap!V75&lt;&gt;"",Karakterlap!V75,"")</f>
        <v/>
      </c>
      <c r="S139" s="256"/>
      <c r="T139" s="255">
        <f>IF(Karakterlap!W75&lt;&gt;"",Karakterlap!W75,"")</f>
        <v>-10</v>
      </c>
      <c r="U139" s="256"/>
      <c r="V139" s="255">
        <f>IF(Karakterlap!X75&lt;&gt;"",Karakterlap!X75,"")</f>
        <v>0</v>
      </c>
      <c r="W139" s="256"/>
      <c r="X139" s="255" t="str">
        <f>IF(Karakterlap!Z75&lt;&gt;0,Karakterlap!Z75,"")</f>
        <v/>
      </c>
      <c r="Y139" s="257"/>
      <c r="Z139" s="256"/>
    </row>
    <row r="140" spans="2:26" ht="17.100000000000001" customHeight="1" x14ac:dyDescent="0.25">
      <c r="B140" s="175"/>
      <c r="C140" s="252" t="str">
        <f>Karakterlap!N76&amp;" "&amp;Karakterlap!O76</f>
        <v xml:space="preserve">Ragadozó </v>
      </c>
      <c r="D140" s="253"/>
      <c r="E140" s="253"/>
      <c r="F140" s="253"/>
      <c r="G140" s="253"/>
      <c r="H140" s="253"/>
      <c r="I140" s="253"/>
      <c r="J140" s="253"/>
      <c r="K140" s="253"/>
      <c r="L140" s="253"/>
      <c r="M140" s="254"/>
      <c r="N140" s="255" t="str">
        <f>IFERROR(VLOOKUP(Karakterlap!R76,tul,2,0),"")</f>
        <v>Int</v>
      </c>
      <c r="O140" s="256"/>
      <c r="P140" s="257" t="str">
        <f>IFERROR(VLOOKUP(Karakterlap!S76,tul,2,0),"")</f>
        <v>Aka</v>
      </c>
      <c r="Q140" s="256"/>
      <c r="R140" s="255" t="str">
        <f>IF(Karakterlap!V76&lt;&gt;"",Karakterlap!V76,"")</f>
        <v/>
      </c>
      <c r="S140" s="256"/>
      <c r="T140" s="255">
        <f>IF(Karakterlap!W76&lt;&gt;"",Karakterlap!W76,"")</f>
        <v>-10</v>
      </c>
      <c r="U140" s="256"/>
      <c r="V140" s="255">
        <f>IF(Karakterlap!X76&lt;&gt;"",Karakterlap!X76,"")</f>
        <v>0</v>
      </c>
      <c r="W140" s="256"/>
      <c r="X140" s="255" t="str">
        <f>IF(Karakterlap!Z76&lt;&gt;0,Karakterlap!Z76,"")</f>
        <v/>
      </c>
      <c r="Y140" s="257"/>
      <c r="Z140" s="256"/>
    </row>
    <row r="141" spans="2:26" ht="17.100000000000001" customHeight="1" x14ac:dyDescent="0.25">
      <c r="B141" s="175"/>
      <c r="C141" s="252" t="str">
        <f>Karakterlap!N77&amp;" "&amp;Karakterlap!O77</f>
        <v xml:space="preserve"> </v>
      </c>
      <c r="D141" s="253"/>
      <c r="E141" s="253"/>
      <c r="F141" s="253"/>
      <c r="G141" s="253"/>
      <c r="H141" s="253"/>
      <c r="I141" s="253"/>
      <c r="J141" s="253"/>
      <c r="K141" s="253"/>
      <c r="L141" s="253"/>
      <c r="M141" s="254"/>
      <c r="N141" s="255" t="str">
        <f>IFERROR(VLOOKUP(Karakterlap!R77,tul,2,0),"")</f>
        <v/>
      </c>
      <c r="O141" s="256"/>
      <c r="P141" s="257" t="str">
        <f>IFERROR(VLOOKUP(Karakterlap!S77,tul,2,0),"")</f>
        <v/>
      </c>
      <c r="Q141" s="256"/>
      <c r="R141" s="255" t="str">
        <f>IF(Karakterlap!V77&lt;&gt;"",Karakterlap!V77,"")</f>
        <v/>
      </c>
      <c r="S141" s="256"/>
      <c r="T141" s="255" t="str">
        <f>IF(Karakterlap!W77&lt;&gt;"",Karakterlap!W77,"")</f>
        <v/>
      </c>
      <c r="U141" s="256"/>
      <c r="V141" s="255" t="str">
        <f>IF(Karakterlap!X77&lt;&gt;"",Karakterlap!X77,"")</f>
        <v/>
      </c>
      <c r="W141" s="256"/>
      <c r="X141" s="255" t="str">
        <f>IF(Karakterlap!Z77&lt;&gt;0,Karakterlap!Z77,"")</f>
        <v>-</v>
      </c>
      <c r="Y141" s="257"/>
      <c r="Z141" s="256"/>
    </row>
    <row r="142" spans="2:26" ht="17.100000000000001" customHeight="1" x14ac:dyDescent="0.25">
      <c r="B142" s="175"/>
      <c r="C142" s="252" t="str">
        <f>Karakterlap!N78&amp;" "&amp;Karakterlap!O78</f>
        <v xml:space="preserve"> </v>
      </c>
      <c r="D142" s="253"/>
      <c r="E142" s="253"/>
      <c r="F142" s="253"/>
      <c r="G142" s="253"/>
      <c r="H142" s="253"/>
      <c r="I142" s="253"/>
      <c r="J142" s="253"/>
      <c r="K142" s="253"/>
      <c r="L142" s="253"/>
      <c r="M142" s="254"/>
      <c r="N142" s="255" t="str">
        <f>IFERROR(VLOOKUP(Karakterlap!R78,tul,2,0),"")</f>
        <v/>
      </c>
      <c r="O142" s="256"/>
      <c r="P142" s="257" t="str">
        <f>IFERROR(VLOOKUP(Karakterlap!S78,tul,2,0),"")</f>
        <v/>
      </c>
      <c r="Q142" s="256"/>
      <c r="R142" s="255" t="str">
        <f>IF(Karakterlap!V78&lt;&gt;"",Karakterlap!V78,"")</f>
        <v/>
      </c>
      <c r="S142" s="256"/>
      <c r="T142" s="255" t="str">
        <f>IF(Karakterlap!W78&lt;&gt;"",Karakterlap!W78,"")</f>
        <v/>
      </c>
      <c r="U142" s="256"/>
      <c r="V142" s="255" t="str">
        <f>IF(Karakterlap!X78&lt;&gt;"",Karakterlap!X78,"")</f>
        <v/>
      </c>
      <c r="W142" s="256"/>
      <c r="X142" s="255" t="str">
        <f>IF(Karakterlap!Z78&lt;&gt;0,Karakterlap!Z78,"")</f>
        <v/>
      </c>
      <c r="Y142" s="257"/>
      <c r="Z142" s="256"/>
    </row>
    <row r="143" spans="2:26" ht="17.100000000000001" customHeight="1" x14ac:dyDescent="0.25">
      <c r="B143" s="175"/>
      <c r="C143" s="252" t="str">
        <f>Karakterlap!N79&amp;" "&amp;Karakterlap!O79</f>
        <v xml:space="preserve"> </v>
      </c>
      <c r="D143" s="253"/>
      <c r="E143" s="253"/>
      <c r="F143" s="253"/>
      <c r="G143" s="253"/>
      <c r="H143" s="253"/>
      <c r="I143" s="253"/>
      <c r="J143" s="253"/>
      <c r="K143" s="253"/>
      <c r="L143" s="253"/>
      <c r="M143" s="254"/>
      <c r="N143" s="255" t="str">
        <f>IFERROR(VLOOKUP(Karakterlap!R79,tul,2,0),"")</f>
        <v/>
      </c>
      <c r="O143" s="256"/>
      <c r="P143" s="257" t="str">
        <f>IFERROR(VLOOKUP(Karakterlap!S79,tul,2,0),"")</f>
        <v/>
      </c>
      <c r="Q143" s="256"/>
      <c r="R143" s="255" t="str">
        <f>IF(Karakterlap!V79&lt;&gt;"",Karakterlap!V79,"")</f>
        <v/>
      </c>
      <c r="S143" s="256"/>
      <c r="T143" s="255" t="str">
        <f>IF(Karakterlap!W79&lt;&gt;"",Karakterlap!W79,"")</f>
        <v/>
      </c>
      <c r="U143" s="256"/>
      <c r="V143" s="255" t="str">
        <f>IF(Karakterlap!X79&lt;&gt;"",Karakterlap!X79,"")</f>
        <v/>
      </c>
      <c r="W143" s="256"/>
      <c r="X143" s="255" t="str">
        <f>IF(Karakterlap!Z79&lt;&gt;0,Karakterlap!Z79,"")</f>
        <v/>
      </c>
      <c r="Y143" s="257"/>
      <c r="Z143" s="256"/>
    </row>
    <row r="153" spans="2:27" ht="17.100000000000001" customHeight="1" x14ac:dyDescent="0.25">
      <c r="B153" s="261" t="s">
        <v>857</v>
      </c>
      <c r="C153" s="262"/>
      <c r="D153" s="262"/>
      <c r="E153" s="262"/>
      <c r="F153" s="262"/>
      <c r="G153" s="262"/>
      <c r="H153" s="262"/>
      <c r="I153" s="262"/>
      <c r="J153" s="262"/>
      <c r="K153" s="262"/>
      <c r="L153" s="263"/>
      <c r="N153" s="265" t="s">
        <v>1944</v>
      </c>
      <c r="O153" s="265"/>
      <c r="P153" s="265"/>
      <c r="Q153" s="265"/>
      <c r="R153" s="180"/>
      <c r="S153" s="266" t="s">
        <v>1945</v>
      </c>
      <c r="T153" s="266"/>
      <c r="U153" s="266"/>
      <c r="V153" s="266"/>
      <c r="W153" s="180"/>
      <c r="X153" s="266" t="s">
        <v>470</v>
      </c>
      <c r="Y153" s="266"/>
      <c r="Z153" s="266"/>
      <c r="AA153" s="266"/>
    </row>
    <row r="154" spans="2:27" ht="17.100000000000001" customHeight="1" x14ac:dyDescent="0.25">
      <c r="B154" s="80"/>
      <c r="C154" s="33"/>
      <c r="D154" s="33"/>
      <c r="E154" s="33"/>
      <c r="F154" s="33"/>
      <c r="G154" s="33"/>
      <c r="H154" s="33"/>
      <c r="I154" s="33"/>
      <c r="J154" s="33"/>
      <c r="K154" s="33"/>
      <c r="L154" s="23"/>
      <c r="N154" s="255" t="str">
        <f>IF(Karakterlap!J2&lt;&gt;0,Karakterlap!J2,"")</f>
        <v/>
      </c>
      <c r="O154" s="257"/>
      <c r="P154" s="257"/>
      <c r="Q154" s="256"/>
      <c r="S154" s="264" t="str">
        <f>IF(Karakterlap!J15&lt;&gt;0,Karakterlap!J15,"")</f>
        <v/>
      </c>
      <c r="T154" s="264"/>
      <c r="U154" s="264"/>
      <c r="V154" s="264"/>
      <c r="X154" s="264" t="str">
        <f>IF(Karakterlap!J24&lt;&gt;0,Karakterlap!J24,"")</f>
        <v/>
      </c>
      <c r="Y154" s="264"/>
      <c r="Z154" s="264"/>
      <c r="AA154" s="264"/>
    </row>
    <row r="155" spans="2:27" ht="17.100000000000001" customHeight="1" x14ac:dyDescent="0.25">
      <c r="B155" s="80"/>
      <c r="C155" s="33"/>
      <c r="D155" s="33"/>
      <c r="E155" s="33"/>
      <c r="F155" s="33"/>
      <c r="G155" s="33"/>
      <c r="H155" s="33"/>
      <c r="I155" s="33"/>
      <c r="J155" s="33"/>
      <c r="K155" s="33"/>
      <c r="L155" s="23"/>
      <c r="N155" s="255" t="str">
        <f>IF(Karakterlap!J3&lt;&gt;0,Karakterlap!J3,"")</f>
        <v/>
      </c>
      <c r="O155" s="257"/>
      <c r="P155" s="257"/>
      <c r="Q155" s="256"/>
      <c r="S155" s="264" t="str">
        <f>IF(Karakterlap!J16&lt;&gt;0,Karakterlap!J16,"")</f>
        <v/>
      </c>
      <c r="T155" s="264"/>
      <c r="U155" s="264"/>
      <c r="V155" s="264"/>
      <c r="X155" s="264" t="str">
        <f>IF(Karakterlap!J25&lt;&gt;0,Karakterlap!J25,"")</f>
        <v/>
      </c>
      <c r="Y155" s="264"/>
      <c r="Z155" s="264"/>
      <c r="AA155" s="264"/>
    </row>
    <row r="156" spans="2:27" ht="17.100000000000001" customHeight="1" x14ac:dyDescent="0.25">
      <c r="B156" s="80"/>
      <c r="C156" s="33"/>
      <c r="D156" s="33"/>
      <c r="E156" s="33"/>
      <c r="F156" s="33"/>
      <c r="G156" s="33"/>
      <c r="H156" s="33"/>
      <c r="I156" s="33"/>
      <c r="J156" s="33"/>
      <c r="K156" s="33"/>
      <c r="L156" s="23"/>
      <c r="N156" s="255" t="str">
        <f>IF(Karakterlap!J4&lt;&gt;0,Karakterlap!J4,"")</f>
        <v/>
      </c>
      <c r="O156" s="257"/>
      <c r="P156" s="257"/>
      <c r="Q156" s="256"/>
      <c r="S156" s="264" t="str">
        <f>IF(Karakterlap!J17&lt;&gt;0,Karakterlap!J17,"")</f>
        <v/>
      </c>
      <c r="T156" s="264"/>
      <c r="U156" s="264"/>
      <c r="V156" s="264"/>
      <c r="X156" s="264" t="str">
        <f>IF(Karakterlap!J26&lt;&gt;0,Karakterlap!J26,"")</f>
        <v/>
      </c>
      <c r="Y156" s="264"/>
      <c r="Z156" s="264"/>
      <c r="AA156" s="264"/>
    </row>
    <row r="157" spans="2:27" ht="17.100000000000001" customHeight="1" x14ac:dyDescent="0.25">
      <c r="B157" s="80"/>
      <c r="C157" s="33"/>
      <c r="D157" s="33"/>
      <c r="E157" s="33"/>
      <c r="F157" s="33"/>
      <c r="G157" s="33"/>
      <c r="H157" s="33"/>
      <c r="I157" s="33"/>
      <c r="J157" s="33"/>
      <c r="K157" s="33"/>
      <c r="L157" s="23"/>
      <c r="N157" s="255" t="str">
        <f>IF(Karakterlap!J5&lt;&gt;0,Karakterlap!J5,"")</f>
        <v/>
      </c>
      <c r="O157" s="257"/>
      <c r="P157" s="257"/>
      <c r="Q157" s="256"/>
      <c r="S157" s="264" t="str">
        <f>IF(Karakterlap!J18&lt;&gt;0,Karakterlap!J18,"")</f>
        <v/>
      </c>
      <c r="T157" s="264"/>
      <c r="U157" s="264"/>
      <c r="V157" s="264"/>
      <c r="X157" s="264" t="str">
        <f>IF(Karakterlap!J27&lt;&gt;0,Karakterlap!J27,"")</f>
        <v/>
      </c>
      <c r="Y157" s="264"/>
      <c r="Z157" s="264"/>
      <c r="AA157" s="264"/>
    </row>
    <row r="158" spans="2:27" ht="17.100000000000001" customHeight="1" x14ac:dyDescent="0.25">
      <c r="B158" s="80"/>
      <c r="C158" s="33"/>
      <c r="D158" s="33"/>
      <c r="E158" s="33"/>
      <c r="F158" s="33"/>
      <c r="G158" s="33"/>
      <c r="H158" s="33"/>
      <c r="I158" s="33"/>
      <c r="J158" s="33"/>
      <c r="K158" s="33"/>
      <c r="L158" s="23"/>
      <c r="N158" s="255" t="str">
        <f>IF(Karakterlap!J6&lt;&gt;0,Karakterlap!J6,"")</f>
        <v/>
      </c>
      <c r="O158" s="257"/>
      <c r="P158" s="257"/>
      <c r="Q158" s="256"/>
      <c r="S158" s="264" t="str">
        <f>IF(Karakterlap!J19&lt;&gt;0,Karakterlap!J19,"")</f>
        <v/>
      </c>
      <c r="T158" s="264"/>
      <c r="U158" s="264"/>
      <c r="V158" s="264"/>
      <c r="X158" s="266" t="s">
        <v>1613</v>
      </c>
      <c r="Y158" s="266"/>
      <c r="Z158" s="266"/>
      <c r="AA158" s="266"/>
    </row>
    <row r="159" spans="2:27" ht="17.100000000000001" customHeight="1" x14ac:dyDescent="0.25">
      <c r="B159" s="80"/>
      <c r="C159" s="33"/>
      <c r="D159" s="33"/>
      <c r="E159" s="33"/>
      <c r="F159" s="33"/>
      <c r="G159" s="33"/>
      <c r="H159" s="33"/>
      <c r="I159" s="33"/>
      <c r="J159" s="33"/>
      <c r="K159" s="33"/>
      <c r="L159" s="23"/>
      <c r="N159" s="255" t="str">
        <f>IF(Karakterlap!J7&lt;&gt;0,Karakterlap!J7,"")</f>
        <v/>
      </c>
      <c r="O159" s="257"/>
      <c r="P159" s="257"/>
      <c r="Q159" s="256"/>
      <c r="S159" s="264" t="str">
        <f>IF(Karakterlap!J20&lt;&gt;0,Karakterlap!J20,"")</f>
        <v/>
      </c>
      <c r="T159" s="264"/>
      <c r="U159" s="264"/>
      <c r="V159" s="264"/>
      <c r="X159" s="264" t="str">
        <f>IF(Karakterlap!K16&lt;&gt;0,Karakterlap!K16,"")</f>
        <v/>
      </c>
      <c r="Y159" s="264"/>
      <c r="Z159" s="264"/>
      <c r="AA159" s="264"/>
    </row>
    <row r="160" spans="2:27" ht="17.100000000000001" customHeight="1" x14ac:dyDescent="0.25">
      <c r="B160" s="80"/>
      <c r="C160" s="33"/>
      <c r="D160" s="33"/>
      <c r="E160" s="33"/>
      <c r="F160" s="33"/>
      <c r="G160" s="33"/>
      <c r="H160" s="33"/>
      <c r="I160" s="33"/>
      <c r="J160" s="33"/>
      <c r="K160" s="33"/>
      <c r="L160" s="23"/>
      <c r="N160" s="255" t="str">
        <f>IF(Karakterlap!J8&lt;&gt;0,Karakterlap!J8,"")</f>
        <v/>
      </c>
      <c r="O160" s="257"/>
      <c r="P160" s="257"/>
      <c r="Q160" s="256"/>
      <c r="S160" s="264" t="str">
        <f>IF(Karakterlap!J21&lt;&gt;0,Karakterlap!J21,"")</f>
        <v/>
      </c>
      <c r="T160" s="264"/>
      <c r="U160" s="264"/>
      <c r="V160" s="264"/>
      <c r="X160" s="264" t="str">
        <f>IF(Karakterlap!K17&lt;&gt;0,Karakterlap!K17,"")</f>
        <v/>
      </c>
      <c r="Y160" s="264"/>
      <c r="Z160" s="264"/>
      <c r="AA160" s="264"/>
    </row>
    <row r="161" spans="2:27" ht="17.100000000000001" customHeight="1" x14ac:dyDescent="0.25">
      <c r="B161" s="80"/>
      <c r="C161" s="33"/>
      <c r="D161" s="33"/>
      <c r="E161" s="33"/>
      <c r="F161" s="33"/>
      <c r="G161" s="33"/>
      <c r="H161" s="33"/>
      <c r="I161" s="33"/>
      <c r="J161" s="33"/>
      <c r="K161" s="33"/>
      <c r="L161" s="23"/>
      <c r="N161" s="255" t="str">
        <f>IF(Karakterlap!J9&lt;&gt;0,Karakterlap!J9,"")</f>
        <v/>
      </c>
      <c r="O161" s="257"/>
      <c r="P161" s="257"/>
      <c r="Q161" s="256"/>
      <c r="S161" s="264" t="str">
        <f>IF(Karakterlap!J22&lt;&gt;0,Karakterlap!J22,"")</f>
        <v/>
      </c>
      <c r="T161" s="264"/>
      <c r="U161" s="264"/>
      <c r="V161" s="264"/>
      <c r="X161" s="264" t="str">
        <f>IF(Karakterlap!K18&lt;&gt;0,Karakterlap!K18,"")</f>
        <v/>
      </c>
      <c r="Y161" s="264"/>
      <c r="Z161" s="264"/>
      <c r="AA161" s="264"/>
    </row>
    <row r="162" spans="2:27" ht="17.100000000000001" customHeight="1" x14ac:dyDescent="0.25">
      <c r="B162" s="81"/>
      <c r="C162" s="71"/>
      <c r="D162" s="71"/>
      <c r="E162" s="71"/>
      <c r="F162" s="71"/>
      <c r="G162" s="71"/>
      <c r="H162" s="71"/>
      <c r="I162" s="71"/>
      <c r="J162" s="71"/>
      <c r="K162" s="71"/>
      <c r="L162" s="94"/>
      <c r="N162" s="255" t="str">
        <f>IF(Karakterlap!J10&lt;&gt;0,Karakterlap!J10,"")</f>
        <v/>
      </c>
      <c r="O162" s="257"/>
      <c r="P162" s="257"/>
      <c r="Q162" s="256"/>
      <c r="X162" s="264" t="str">
        <f>IF(Karakterlap!K19&lt;&gt;0,Karakterlap!K19,"")</f>
        <v/>
      </c>
      <c r="Y162" s="264"/>
      <c r="Z162" s="264"/>
      <c r="AA162" s="264"/>
    </row>
    <row r="163" spans="2:27" ht="16.5" customHeight="1" x14ac:dyDescent="0.25">
      <c r="N163" s="255" t="str">
        <f>IF(Karakterlap!J11&lt;&gt;0,Karakterlap!J11,"")</f>
        <v/>
      </c>
      <c r="O163" s="257"/>
      <c r="P163" s="257"/>
      <c r="Q163" s="256"/>
      <c r="S163" s="266" t="s">
        <v>1949</v>
      </c>
      <c r="T163" s="266"/>
      <c r="U163" s="266"/>
      <c r="V163" s="266"/>
      <c r="X163" s="264" t="str">
        <f>IF(Karakterlap!K20&lt;&gt;0,Karakterlap!K20,"")</f>
        <v/>
      </c>
      <c r="Y163" s="264"/>
      <c r="Z163" s="264"/>
      <c r="AA163" s="264"/>
    </row>
    <row r="164" spans="2:27" ht="16.5" customHeight="1" x14ac:dyDescent="0.25">
      <c r="B164" s="261" t="s">
        <v>860</v>
      </c>
      <c r="C164" s="262"/>
      <c r="D164" s="262"/>
      <c r="E164" s="262"/>
      <c r="F164" s="262"/>
      <c r="G164" s="262"/>
      <c r="H164" s="262"/>
      <c r="I164" s="262"/>
      <c r="J164" s="262"/>
      <c r="K164" s="262"/>
      <c r="L164" s="263"/>
      <c r="N164" s="255" t="str">
        <f>IF(Karakterlap!J12&lt;&gt;0,Karakterlap!J12,"")</f>
        <v/>
      </c>
      <c r="O164" s="257"/>
      <c r="P164" s="257"/>
      <c r="Q164" s="256"/>
      <c r="S164" s="264" t="str">
        <f>IF(Karakterlap!K2&lt;&gt;0,Karakterlap!K2,"")</f>
        <v/>
      </c>
      <c r="T164" s="264"/>
      <c r="U164" s="264"/>
      <c r="V164" s="264"/>
      <c r="X164" s="264" t="str">
        <f>IF(Karakterlap!K21&lt;&gt;0,Karakterlap!K21,"")</f>
        <v/>
      </c>
      <c r="Y164" s="264"/>
      <c r="Z164" s="264"/>
      <c r="AA164" s="264"/>
    </row>
    <row r="165" spans="2:27" ht="16.5" customHeight="1" x14ac:dyDescent="0.25">
      <c r="B165" s="240" t="str">
        <f>IF(Előtörténet!E2&lt;&gt;"",Előtörténet!E2,"")</f>
        <v/>
      </c>
      <c r="C165" s="241"/>
      <c r="D165" s="241"/>
      <c r="E165" s="241"/>
      <c r="F165" s="241"/>
      <c r="G165" s="241"/>
      <c r="H165" s="241"/>
      <c r="I165" s="241"/>
      <c r="J165" s="241"/>
      <c r="K165" s="241"/>
      <c r="L165" s="242"/>
      <c r="N165" s="264" t="str">
        <f>IF(Karakterlap!J13&lt;&gt;0,Karakterlap!J13,"")</f>
        <v/>
      </c>
      <c r="O165" s="264"/>
      <c r="P165" s="264"/>
      <c r="Q165" s="264"/>
      <c r="S165" s="264" t="str">
        <f>IF(Karakterlap!K3&lt;&gt;0,Karakterlap!K3,"")</f>
        <v/>
      </c>
      <c r="T165" s="264"/>
      <c r="U165" s="264"/>
      <c r="V165" s="264"/>
      <c r="X165" s="264" t="str">
        <f>IF(Karakterlap!K22&lt;&gt;0,Karakterlap!K22,"")</f>
        <v/>
      </c>
      <c r="Y165" s="264"/>
      <c r="Z165" s="264"/>
      <c r="AA165" s="264"/>
    </row>
    <row r="166" spans="2:27" ht="16.5" customHeight="1" x14ac:dyDescent="0.25">
      <c r="B166" s="240" t="str">
        <f>IF(Előtörténet!E3&lt;&gt;"",Előtörténet!E3,"")</f>
        <v/>
      </c>
      <c r="C166" s="241"/>
      <c r="D166" s="241"/>
      <c r="E166" s="241"/>
      <c r="F166" s="241"/>
      <c r="G166" s="241"/>
      <c r="H166" s="241"/>
      <c r="I166" s="241"/>
      <c r="J166" s="241"/>
      <c r="K166" s="241"/>
      <c r="L166" s="242"/>
      <c r="N166" s="265" t="s">
        <v>883</v>
      </c>
      <c r="O166" s="265"/>
      <c r="P166" s="265"/>
      <c r="Q166" s="265"/>
      <c r="S166" s="264" t="str">
        <f>IF(Karakterlap!K4&lt;&gt;0,Karakterlap!K4,"")</f>
        <v/>
      </c>
      <c r="T166" s="264"/>
      <c r="U166" s="264"/>
      <c r="V166" s="264"/>
      <c r="X166" s="264" t="str">
        <f>IF(Karakterlap!K23&lt;&gt;0,Karakterlap!K23,"")</f>
        <v/>
      </c>
      <c r="Y166" s="264"/>
      <c r="Z166" s="264"/>
      <c r="AA166" s="264"/>
    </row>
    <row r="167" spans="2:27" ht="16.5" customHeight="1" x14ac:dyDescent="0.25">
      <c r="B167" s="240" t="str">
        <f>IF(Előtörténet!E4&lt;&gt;"",Előtörténet!E4,"")</f>
        <v/>
      </c>
      <c r="C167" s="241"/>
      <c r="D167" s="241"/>
      <c r="E167" s="241"/>
      <c r="F167" s="241"/>
      <c r="G167" s="241"/>
      <c r="H167" s="241"/>
      <c r="I167" s="241"/>
      <c r="J167" s="241"/>
      <c r="K167" s="241"/>
      <c r="L167" s="242"/>
      <c r="N167" s="255" t="str">
        <f>IF(Karakterlap!K11&lt;&gt;0,Karakterlap!K11,"")</f>
        <v/>
      </c>
      <c r="O167" s="257"/>
      <c r="P167" s="257"/>
      <c r="Q167" s="256"/>
      <c r="S167" s="264" t="str">
        <f>IF(Karakterlap!K5&lt;&gt;0,Karakterlap!K5,"")</f>
        <v/>
      </c>
      <c r="T167" s="264"/>
      <c r="U167" s="264"/>
      <c r="V167" s="264"/>
      <c r="X167" s="264" t="str">
        <f>IF(Karakterlap!K24&lt;&gt;0,Karakterlap!K24,"")</f>
        <v/>
      </c>
      <c r="Y167" s="264"/>
      <c r="Z167" s="264"/>
      <c r="AA167" s="264"/>
    </row>
    <row r="168" spans="2:27" ht="17.100000000000001" customHeight="1" x14ac:dyDescent="0.25">
      <c r="B168" s="240" t="str">
        <f>IF(Előtörténet!E5&lt;&gt;"",Előtörténet!E5,"")</f>
        <v/>
      </c>
      <c r="C168" s="241"/>
      <c r="D168" s="241"/>
      <c r="E168" s="241"/>
      <c r="F168" s="241"/>
      <c r="G168" s="241"/>
      <c r="H168" s="241"/>
      <c r="I168" s="241"/>
      <c r="J168" s="241"/>
      <c r="K168" s="241"/>
      <c r="L168" s="242"/>
      <c r="N168" s="255" t="str">
        <f>IF(Karakterlap!K12&lt;&gt;0,Karakterlap!K12,"")</f>
        <v/>
      </c>
      <c r="O168" s="257"/>
      <c r="P168" s="257"/>
      <c r="Q168" s="256"/>
      <c r="S168" s="264" t="str">
        <f>IF(Karakterlap!K6&lt;&gt;0,Karakterlap!K6,"")</f>
        <v/>
      </c>
      <c r="T168" s="264"/>
      <c r="U168" s="264"/>
      <c r="V168" s="264"/>
      <c r="X168" s="264" t="str">
        <f>IF(Karakterlap!K25&lt;&gt;0,Karakterlap!K25,"")</f>
        <v/>
      </c>
      <c r="Y168" s="264"/>
      <c r="Z168" s="264"/>
      <c r="AA168" s="264"/>
    </row>
    <row r="169" spans="2:27" ht="17.100000000000001" customHeight="1" x14ac:dyDescent="0.25">
      <c r="B169" s="240" t="str">
        <f>IF(Előtörténet!E6&lt;&gt;"",Előtörténet!E6,"")</f>
        <v/>
      </c>
      <c r="C169" s="241"/>
      <c r="D169" s="241"/>
      <c r="E169" s="241"/>
      <c r="F169" s="241"/>
      <c r="G169" s="241"/>
      <c r="H169" s="241"/>
      <c r="I169" s="241"/>
      <c r="J169" s="241"/>
      <c r="K169" s="241"/>
      <c r="L169" s="242"/>
      <c r="N169" s="255" t="str">
        <f>IF(Karakterlap!K13&lt;&gt;0,Karakterlap!K13,"")</f>
        <v/>
      </c>
      <c r="O169" s="257"/>
      <c r="P169" s="257"/>
      <c r="Q169" s="256"/>
      <c r="S169" s="264" t="str">
        <f>IF(Karakterlap!K7&lt;&gt;0,Karakterlap!K7,"")</f>
        <v/>
      </c>
      <c r="T169" s="264"/>
      <c r="U169" s="264"/>
      <c r="V169" s="264"/>
      <c r="X169" s="264" t="str">
        <f>IF(Karakterlap!K26&lt;&gt;0,Karakterlap!K26,"")</f>
        <v/>
      </c>
      <c r="Y169" s="264"/>
      <c r="Z169" s="264"/>
      <c r="AA169" s="264"/>
    </row>
    <row r="170" spans="2:27" ht="17.100000000000001" customHeight="1" x14ac:dyDescent="0.25">
      <c r="B170" s="243" t="str">
        <f>IF(Előtörténet!E7&lt;&gt;"",Előtörténet!E7,"")</f>
        <v/>
      </c>
      <c r="C170" s="244"/>
      <c r="D170" s="244"/>
      <c r="E170" s="244"/>
      <c r="F170" s="244"/>
      <c r="G170" s="244"/>
      <c r="H170" s="244"/>
      <c r="I170" s="244"/>
      <c r="J170" s="244"/>
      <c r="K170" s="244"/>
      <c r="L170" s="245"/>
      <c r="N170" s="264" t="str">
        <f>IF(Karakterlap!K14&lt;&gt;0,Karakterlap!K14,"")</f>
        <v/>
      </c>
      <c r="O170" s="264"/>
      <c r="P170" s="264"/>
      <c r="Q170" s="264"/>
      <c r="S170" s="264" t="str">
        <f>IF(Karakterlap!K8&lt;&gt;0,Karakterlap!K8,"")</f>
        <v/>
      </c>
      <c r="T170" s="264"/>
      <c r="U170" s="264"/>
      <c r="V170" s="264"/>
      <c r="X170" s="264" t="str">
        <f>IF(Karakterlap!K27&lt;&gt;0,Karakterlap!K27,"")</f>
        <v/>
      </c>
      <c r="Y170" s="264"/>
      <c r="Z170" s="264"/>
      <c r="AA170" s="264"/>
    </row>
    <row r="172" spans="2:27" ht="17.100000000000001" customHeight="1" x14ac:dyDescent="0.25">
      <c r="B172" s="261" t="s">
        <v>859</v>
      </c>
      <c r="C172" s="262"/>
      <c r="D172" s="262"/>
      <c r="E172" s="262"/>
      <c r="F172" s="262"/>
      <c r="G172" s="262"/>
      <c r="H172" s="262"/>
      <c r="I172" s="262"/>
      <c r="J172" s="262"/>
      <c r="K172" s="262"/>
      <c r="L172" s="262"/>
      <c r="M172" s="263"/>
      <c r="N172" s="183"/>
      <c r="O172" s="89"/>
      <c r="P172" s="262" t="s">
        <v>858</v>
      </c>
      <c r="Q172" s="262"/>
      <c r="R172" s="262"/>
      <c r="S172" s="262"/>
      <c r="T172" s="262"/>
      <c r="U172" s="262"/>
      <c r="V172" s="262"/>
      <c r="W172" s="262"/>
      <c r="X172" s="262"/>
      <c r="Y172" s="262"/>
      <c r="Z172" s="262"/>
      <c r="AA172" s="263"/>
    </row>
    <row r="173" spans="2:27" ht="17.100000000000001" customHeight="1" x14ac:dyDescent="0.3">
      <c r="B173" s="246" t="str">
        <f>IF(Előtörténet!A2&lt;&gt;"",Előtörténet!A2,"")</f>
        <v/>
      </c>
      <c r="C173" s="247"/>
      <c r="D173" s="247"/>
      <c r="E173" s="247"/>
      <c r="F173" s="247"/>
      <c r="G173" s="247"/>
      <c r="H173" s="247"/>
      <c r="I173" s="247"/>
      <c r="J173" s="247"/>
      <c r="K173" s="247"/>
      <c r="L173" s="247"/>
      <c r="M173" s="248"/>
      <c r="N173" s="239"/>
      <c r="O173" s="246" t="str">
        <f>IF(Előtörténet!C2&lt;&gt;"",Előtörténet!C2,"")</f>
        <v/>
      </c>
      <c r="P173" s="247"/>
      <c r="Q173" s="247"/>
      <c r="R173" s="247"/>
      <c r="S173" s="247"/>
      <c r="T173" s="247"/>
      <c r="U173" s="247"/>
      <c r="V173" s="247"/>
      <c r="W173" s="247"/>
      <c r="X173" s="247"/>
      <c r="Y173" s="247"/>
      <c r="Z173" s="247"/>
      <c r="AA173" s="248"/>
    </row>
    <row r="174" spans="2:27" ht="17.100000000000001" customHeight="1" x14ac:dyDescent="0.3">
      <c r="B174" s="246" t="str">
        <f>IF(Előtörténet!A3&lt;&gt;"",Előtörténet!A3,"")</f>
        <v/>
      </c>
      <c r="C174" s="247"/>
      <c r="D174" s="247"/>
      <c r="E174" s="247"/>
      <c r="F174" s="247"/>
      <c r="G174" s="247"/>
      <c r="H174" s="247"/>
      <c r="I174" s="247"/>
      <c r="J174" s="247"/>
      <c r="K174" s="247"/>
      <c r="L174" s="247"/>
      <c r="M174" s="248"/>
      <c r="N174" s="239"/>
      <c r="O174" s="246" t="str">
        <f>IF(Előtörténet!C3&lt;&gt;"",Előtörténet!C3,"")</f>
        <v/>
      </c>
      <c r="P174" s="247"/>
      <c r="Q174" s="247"/>
      <c r="R174" s="247"/>
      <c r="S174" s="247"/>
      <c r="T174" s="247"/>
      <c r="U174" s="247"/>
      <c r="V174" s="247"/>
      <c r="W174" s="247"/>
      <c r="X174" s="247"/>
      <c r="Y174" s="247"/>
      <c r="Z174" s="247"/>
      <c r="AA174" s="248"/>
    </row>
    <row r="175" spans="2:27" ht="17.100000000000001" customHeight="1" x14ac:dyDescent="0.3">
      <c r="B175" s="246" t="str">
        <f>IF(Előtörténet!A4&lt;&gt;"",Előtörténet!A4,"")</f>
        <v/>
      </c>
      <c r="C175" s="247"/>
      <c r="D175" s="247"/>
      <c r="E175" s="247"/>
      <c r="F175" s="247"/>
      <c r="G175" s="247"/>
      <c r="H175" s="247"/>
      <c r="I175" s="247"/>
      <c r="J175" s="247"/>
      <c r="K175" s="247"/>
      <c r="L175" s="247"/>
      <c r="M175" s="248"/>
      <c r="N175" s="239"/>
      <c r="O175" s="246" t="str">
        <f>IF(Előtörténet!C4&lt;&gt;"",Előtörténet!C4,"")</f>
        <v/>
      </c>
      <c r="P175" s="247"/>
      <c r="Q175" s="247"/>
      <c r="R175" s="247"/>
      <c r="S175" s="247"/>
      <c r="T175" s="247"/>
      <c r="U175" s="247"/>
      <c r="V175" s="247"/>
      <c r="W175" s="247"/>
      <c r="X175" s="247"/>
      <c r="Y175" s="247"/>
      <c r="Z175" s="247"/>
      <c r="AA175" s="248"/>
    </row>
    <row r="176" spans="2:27" ht="17.100000000000001" customHeight="1" x14ac:dyDescent="0.3">
      <c r="B176" s="246" t="str">
        <f>IF(Előtörténet!A5&lt;&gt;"",Előtörténet!A5,"")</f>
        <v/>
      </c>
      <c r="C176" s="247"/>
      <c r="D176" s="247"/>
      <c r="E176" s="247"/>
      <c r="F176" s="247"/>
      <c r="G176" s="247"/>
      <c r="H176" s="247"/>
      <c r="I176" s="247"/>
      <c r="J176" s="247"/>
      <c r="K176" s="247"/>
      <c r="L176" s="247"/>
      <c r="M176" s="248"/>
      <c r="N176" s="239"/>
      <c r="O176" s="246" t="str">
        <f>IF(Előtörténet!C5&lt;&gt;"",Előtörténet!C5,"")</f>
        <v/>
      </c>
      <c r="P176" s="247"/>
      <c r="Q176" s="247"/>
      <c r="R176" s="247"/>
      <c r="S176" s="247"/>
      <c r="T176" s="247"/>
      <c r="U176" s="247"/>
      <c r="V176" s="247"/>
      <c r="W176" s="247"/>
      <c r="X176" s="247"/>
      <c r="Y176" s="247"/>
      <c r="Z176" s="247"/>
      <c r="AA176" s="248"/>
    </row>
    <row r="177" spans="2:27" ht="17.100000000000001" customHeight="1" x14ac:dyDescent="0.3">
      <c r="B177" s="246" t="str">
        <f>IF(Előtörténet!A6&lt;&gt;"",Előtörténet!A6,"")</f>
        <v/>
      </c>
      <c r="C177" s="247"/>
      <c r="D177" s="247"/>
      <c r="E177" s="247"/>
      <c r="F177" s="247"/>
      <c r="G177" s="247"/>
      <c r="H177" s="247"/>
      <c r="I177" s="247"/>
      <c r="J177" s="247"/>
      <c r="K177" s="247"/>
      <c r="L177" s="247"/>
      <c r="M177" s="248"/>
      <c r="N177" s="239"/>
      <c r="O177" s="246" t="str">
        <f>IF(Előtörténet!C6&lt;&gt;"",Előtörténet!C6,"")</f>
        <v/>
      </c>
      <c r="P177" s="247"/>
      <c r="Q177" s="247"/>
      <c r="R177" s="247"/>
      <c r="S177" s="247"/>
      <c r="T177" s="247"/>
      <c r="U177" s="247"/>
      <c r="V177" s="247"/>
      <c r="W177" s="247"/>
      <c r="X177" s="247"/>
      <c r="Y177" s="247"/>
      <c r="Z177" s="247"/>
      <c r="AA177" s="248"/>
    </row>
    <row r="178" spans="2:27" ht="17.100000000000001" customHeight="1" x14ac:dyDescent="0.3">
      <c r="B178" s="246" t="str">
        <f>IF(Előtörténet!A7&lt;&gt;"",Előtörténet!A7,"")</f>
        <v/>
      </c>
      <c r="C178" s="247"/>
      <c r="D178" s="247"/>
      <c r="E178" s="247"/>
      <c r="F178" s="247"/>
      <c r="G178" s="247"/>
      <c r="H178" s="247"/>
      <c r="I178" s="247"/>
      <c r="J178" s="247"/>
      <c r="K178" s="247"/>
      <c r="L178" s="247"/>
      <c r="M178" s="248"/>
      <c r="N178" s="239"/>
      <c r="O178" s="246" t="str">
        <f>IF(Előtörténet!C7&lt;&gt;"",Előtörténet!C7,"")</f>
        <v/>
      </c>
      <c r="P178" s="247"/>
      <c r="Q178" s="247"/>
      <c r="R178" s="247"/>
      <c r="S178" s="247"/>
      <c r="T178" s="247"/>
      <c r="U178" s="247"/>
      <c r="V178" s="247"/>
      <c r="W178" s="247"/>
      <c r="X178" s="247"/>
      <c r="Y178" s="247"/>
      <c r="Z178" s="247"/>
      <c r="AA178" s="248"/>
    </row>
    <row r="179" spans="2:27" ht="17.100000000000001" customHeight="1" x14ac:dyDescent="0.3">
      <c r="B179" s="246" t="str">
        <f>IF(Előtörténet!A8&lt;&gt;"",Előtörténet!A8,"")</f>
        <v/>
      </c>
      <c r="C179" s="247"/>
      <c r="D179" s="247"/>
      <c r="E179" s="247"/>
      <c r="F179" s="247"/>
      <c r="G179" s="247"/>
      <c r="H179" s="247"/>
      <c r="I179" s="247"/>
      <c r="J179" s="247"/>
      <c r="K179" s="247"/>
      <c r="L179" s="247"/>
      <c r="M179" s="248"/>
      <c r="N179" s="239"/>
      <c r="O179" s="246" t="str">
        <f>IF(Előtörténet!C8&lt;&gt;"",Előtörténet!C8,"")</f>
        <v/>
      </c>
      <c r="P179" s="247"/>
      <c r="Q179" s="247"/>
      <c r="R179" s="247"/>
      <c r="S179" s="247"/>
      <c r="T179" s="247"/>
      <c r="U179" s="247"/>
      <c r="V179" s="247"/>
      <c r="W179" s="247"/>
      <c r="X179" s="247"/>
      <c r="Y179" s="247"/>
      <c r="Z179" s="247"/>
      <c r="AA179" s="248"/>
    </row>
    <row r="180" spans="2:27" ht="17.100000000000001" customHeight="1" x14ac:dyDescent="0.3">
      <c r="B180" s="246" t="str">
        <f>IF(Előtörténet!A9&lt;&gt;"",Előtörténet!A9,"")</f>
        <v/>
      </c>
      <c r="C180" s="247"/>
      <c r="D180" s="247"/>
      <c r="E180" s="247"/>
      <c r="F180" s="247"/>
      <c r="G180" s="247"/>
      <c r="H180" s="247"/>
      <c r="I180" s="247"/>
      <c r="J180" s="247"/>
      <c r="K180" s="247"/>
      <c r="L180" s="247"/>
      <c r="M180" s="248"/>
      <c r="N180" s="239"/>
      <c r="O180" s="246" t="str">
        <f>IF(Előtörténet!C9&lt;&gt;"",Előtörténet!C9,"")</f>
        <v/>
      </c>
      <c r="P180" s="247"/>
      <c r="Q180" s="247"/>
      <c r="R180" s="247"/>
      <c r="S180" s="247"/>
      <c r="T180" s="247"/>
      <c r="U180" s="247"/>
      <c r="V180" s="247"/>
      <c r="W180" s="247"/>
      <c r="X180" s="247"/>
      <c r="Y180" s="247"/>
      <c r="Z180" s="247"/>
      <c r="AA180" s="248"/>
    </row>
    <row r="181" spans="2:27" ht="17.100000000000001" customHeight="1" x14ac:dyDescent="0.3">
      <c r="B181" s="246" t="str">
        <f>IF(Előtörténet!A10&lt;&gt;"",Előtörténet!A10,"")</f>
        <v/>
      </c>
      <c r="C181" s="247"/>
      <c r="D181" s="247"/>
      <c r="E181" s="247"/>
      <c r="F181" s="247"/>
      <c r="G181" s="247"/>
      <c r="H181" s="247"/>
      <c r="I181" s="247"/>
      <c r="J181" s="247"/>
      <c r="K181" s="247"/>
      <c r="L181" s="247"/>
      <c r="M181" s="248"/>
      <c r="N181" s="239"/>
      <c r="O181" s="246" t="str">
        <f>IF(Előtörténet!C10&lt;&gt;"",Előtörténet!C10,"")</f>
        <v/>
      </c>
      <c r="P181" s="247"/>
      <c r="Q181" s="247"/>
      <c r="R181" s="247"/>
      <c r="S181" s="247"/>
      <c r="T181" s="247"/>
      <c r="U181" s="247"/>
      <c r="V181" s="247"/>
      <c r="W181" s="247"/>
      <c r="X181" s="247"/>
      <c r="Y181" s="247"/>
      <c r="Z181" s="247"/>
      <c r="AA181" s="248"/>
    </row>
    <row r="182" spans="2:27" ht="17.100000000000001" customHeight="1" x14ac:dyDescent="0.3">
      <c r="B182" s="246" t="str">
        <f>IF(Előtörténet!A11&lt;&gt;"",Előtörténet!A11,"")</f>
        <v/>
      </c>
      <c r="C182" s="247"/>
      <c r="D182" s="247"/>
      <c r="E182" s="247"/>
      <c r="F182" s="247"/>
      <c r="G182" s="247"/>
      <c r="H182" s="247"/>
      <c r="I182" s="247"/>
      <c r="J182" s="247"/>
      <c r="K182" s="247"/>
      <c r="L182" s="247"/>
      <c r="M182" s="248"/>
      <c r="N182" s="239"/>
      <c r="O182" s="246" t="str">
        <f>IF(Előtörténet!C11&lt;&gt;"",Előtörténet!C11,"")</f>
        <v/>
      </c>
      <c r="P182" s="247"/>
      <c r="Q182" s="247"/>
      <c r="R182" s="247"/>
      <c r="S182" s="247"/>
      <c r="T182" s="247"/>
      <c r="U182" s="247"/>
      <c r="V182" s="247"/>
      <c r="W182" s="247"/>
      <c r="X182" s="247"/>
      <c r="Y182" s="247"/>
      <c r="Z182" s="247"/>
      <c r="AA182" s="248"/>
    </row>
    <row r="183" spans="2:27" ht="17.100000000000001" customHeight="1" x14ac:dyDescent="0.3">
      <c r="B183" s="246" t="str">
        <f>IF(Előtörténet!A12&lt;&gt;"",Előtörténet!A12,"")</f>
        <v/>
      </c>
      <c r="C183" s="247"/>
      <c r="D183" s="247"/>
      <c r="E183" s="247"/>
      <c r="F183" s="247"/>
      <c r="G183" s="247"/>
      <c r="H183" s="247"/>
      <c r="I183" s="247"/>
      <c r="J183" s="247"/>
      <c r="K183" s="247"/>
      <c r="L183" s="247"/>
      <c r="M183" s="248"/>
      <c r="N183" s="239"/>
      <c r="O183" s="246" t="str">
        <f>IF(Előtörténet!C12&lt;&gt;"",Előtörténet!C12,"")</f>
        <v/>
      </c>
      <c r="P183" s="247"/>
      <c r="Q183" s="247"/>
      <c r="R183" s="247"/>
      <c r="S183" s="247"/>
      <c r="T183" s="247"/>
      <c r="U183" s="247"/>
      <c r="V183" s="247"/>
      <c r="W183" s="247"/>
      <c r="X183" s="247"/>
      <c r="Y183" s="247"/>
      <c r="Z183" s="247"/>
      <c r="AA183" s="248"/>
    </row>
    <row r="184" spans="2:27" ht="17.100000000000001" customHeight="1" x14ac:dyDescent="0.3">
      <c r="B184" s="246" t="str">
        <f>IF(Előtörténet!A13&lt;&gt;"",Előtörténet!A13,"")</f>
        <v/>
      </c>
      <c r="C184" s="247"/>
      <c r="D184" s="247"/>
      <c r="E184" s="247"/>
      <c r="F184" s="247"/>
      <c r="G184" s="247"/>
      <c r="H184" s="247"/>
      <c r="I184" s="247"/>
      <c r="J184" s="247"/>
      <c r="K184" s="247"/>
      <c r="L184" s="247"/>
      <c r="M184" s="248"/>
      <c r="N184" s="239"/>
      <c r="O184" s="246" t="str">
        <f>IF(Előtörténet!C13&lt;&gt;"",Előtörténet!C13,"")</f>
        <v/>
      </c>
      <c r="P184" s="247"/>
      <c r="Q184" s="247"/>
      <c r="R184" s="247"/>
      <c r="S184" s="247"/>
      <c r="T184" s="247"/>
      <c r="U184" s="247"/>
      <c r="V184" s="247"/>
      <c r="W184" s="247"/>
      <c r="X184" s="247"/>
      <c r="Y184" s="247"/>
      <c r="Z184" s="247"/>
      <c r="AA184" s="248"/>
    </row>
    <row r="185" spans="2:27" ht="17.100000000000001" customHeight="1" x14ac:dyDescent="0.3">
      <c r="B185" s="246" t="str">
        <f>IF(Előtörténet!A14&lt;&gt;"",Előtörténet!A14,"")</f>
        <v/>
      </c>
      <c r="C185" s="247"/>
      <c r="D185" s="247"/>
      <c r="E185" s="247"/>
      <c r="F185" s="247"/>
      <c r="G185" s="247"/>
      <c r="H185" s="247"/>
      <c r="I185" s="247"/>
      <c r="J185" s="247"/>
      <c r="K185" s="247"/>
      <c r="L185" s="247"/>
      <c r="M185" s="248"/>
      <c r="N185" s="239"/>
      <c r="O185" s="246" t="str">
        <f>IF(Előtörténet!C14&lt;&gt;"",Előtörténet!C14,"")</f>
        <v/>
      </c>
      <c r="P185" s="247"/>
      <c r="Q185" s="247"/>
      <c r="R185" s="247"/>
      <c r="S185" s="247"/>
      <c r="T185" s="247"/>
      <c r="U185" s="247"/>
      <c r="V185" s="247"/>
      <c r="W185" s="247"/>
      <c r="X185" s="247"/>
      <c r="Y185" s="247"/>
      <c r="Z185" s="247"/>
      <c r="AA185" s="248"/>
    </row>
    <row r="186" spans="2:27" ht="17.100000000000001" customHeight="1" x14ac:dyDescent="0.3">
      <c r="B186" s="246" t="str">
        <f>IF(Előtörténet!A15&lt;&gt;"",Előtörténet!A15,"")</f>
        <v/>
      </c>
      <c r="C186" s="247"/>
      <c r="D186" s="247"/>
      <c r="E186" s="247"/>
      <c r="F186" s="247"/>
      <c r="G186" s="247"/>
      <c r="H186" s="247"/>
      <c r="I186" s="247"/>
      <c r="J186" s="247"/>
      <c r="K186" s="247"/>
      <c r="L186" s="247"/>
      <c r="M186" s="248"/>
      <c r="N186" s="239"/>
      <c r="O186" s="246" t="str">
        <f>IF(Előtörténet!C15&lt;&gt;"",Előtörténet!C15,"")</f>
        <v/>
      </c>
      <c r="P186" s="247"/>
      <c r="Q186" s="247"/>
      <c r="R186" s="247"/>
      <c r="S186" s="247"/>
      <c r="T186" s="247"/>
      <c r="U186" s="247"/>
      <c r="V186" s="247"/>
      <c r="W186" s="247"/>
      <c r="X186" s="247"/>
      <c r="Y186" s="247"/>
      <c r="Z186" s="247"/>
      <c r="AA186" s="248"/>
    </row>
    <row r="187" spans="2:27" ht="17.100000000000001" customHeight="1" x14ac:dyDescent="0.3">
      <c r="B187" s="246" t="str">
        <f>IF(Előtörténet!A16&lt;&gt;"",Előtörténet!A16,"")</f>
        <v/>
      </c>
      <c r="C187" s="247"/>
      <c r="D187" s="247"/>
      <c r="E187" s="247"/>
      <c r="F187" s="247"/>
      <c r="G187" s="247"/>
      <c r="H187" s="247"/>
      <c r="I187" s="247"/>
      <c r="J187" s="247"/>
      <c r="K187" s="247"/>
      <c r="L187" s="247"/>
      <c r="M187" s="248"/>
      <c r="N187" s="239"/>
      <c r="O187" s="246" t="str">
        <f>IF(Előtörténet!C16&lt;&gt;"",Előtörténet!C16,"")</f>
        <v/>
      </c>
      <c r="P187" s="247"/>
      <c r="Q187" s="247"/>
      <c r="R187" s="247"/>
      <c r="S187" s="247"/>
      <c r="T187" s="247"/>
      <c r="U187" s="247"/>
      <c r="V187" s="247"/>
      <c r="W187" s="247"/>
      <c r="X187" s="247"/>
      <c r="Y187" s="247"/>
      <c r="Z187" s="247"/>
      <c r="AA187" s="248"/>
    </row>
    <row r="188" spans="2:27" ht="17.100000000000001" customHeight="1" x14ac:dyDescent="0.3">
      <c r="B188" s="246" t="str">
        <f>IF(Előtörténet!A17&lt;&gt;"",Előtörténet!A17,"")</f>
        <v/>
      </c>
      <c r="C188" s="247"/>
      <c r="D188" s="247"/>
      <c r="E188" s="247"/>
      <c r="F188" s="247"/>
      <c r="G188" s="247"/>
      <c r="H188" s="247"/>
      <c r="I188" s="247"/>
      <c r="J188" s="247"/>
      <c r="K188" s="247"/>
      <c r="L188" s="247"/>
      <c r="M188" s="248"/>
      <c r="N188" s="239"/>
      <c r="O188" s="246" t="str">
        <f>IF(Előtörténet!C17&lt;&gt;"",Előtörténet!C17,"")</f>
        <v/>
      </c>
      <c r="P188" s="247"/>
      <c r="Q188" s="247"/>
      <c r="R188" s="247"/>
      <c r="S188" s="247"/>
      <c r="T188" s="247"/>
      <c r="U188" s="247"/>
      <c r="V188" s="247"/>
      <c r="W188" s="247"/>
      <c r="X188" s="247"/>
      <c r="Y188" s="247"/>
      <c r="Z188" s="247"/>
      <c r="AA188" s="248"/>
    </row>
    <row r="189" spans="2:27" ht="17.100000000000001" customHeight="1" x14ac:dyDescent="0.3">
      <c r="B189" s="246" t="str">
        <f>IF(Előtörténet!A18&lt;&gt;"",Előtörténet!A18,"")</f>
        <v/>
      </c>
      <c r="C189" s="247"/>
      <c r="D189" s="247"/>
      <c r="E189" s="247"/>
      <c r="F189" s="247"/>
      <c r="G189" s="247"/>
      <c r="H189" s="247"/>
      <c r="I189" s="247"/>
      <c r="J189" s="247"/>
      <c r="K189" s="247"/>
      <c r="L189" s="247"/>
      <c r="M189" s="248"/>
      <c r="N189" s="239"/>
      <c r="O189" s="246" t="str">
        <f>IF(Előtörténet!C18&lt;&gt;"",Előtörténet!C18,"")</f>
        <v/>
      </c>
      <c r="P189" s="247"/>
      <c r="Q189" s="247"/>
      <c r="R189" s="247"/>
      <c r="S189" s="247"/>
      <c r="T189" s="247"/>
      <c r="U189" s="247"/>
      <c r="V189" s="247"/>
      <c r="W189" s="247"/>
      <c r="X189" s="247"/>
      <c r="Y189" s="247"/>
      <c r="Z189" s="247"/>
      <c r="AA189" s="248"/>
    </row>
    <row r="190" spans="2:27" ht="17.100000000000001" customHeight="1" x14ac:dyDescent="0.3">
      <c r="B190" s="246" t="str">
        <f>IF(Előtörténet!A19&lt;&gt;"",Előtörténet!A19,"")</f>
        <v/>
      </c>
      <c r="C190" s="247"/>
      <c r="D190" s="247"/>
      <c r="E190" s="247"/>
      <c r="F190" s="247"/>
      <c r="G190" s="247"/>
      <c r="H190" s="247"/>
      <c r="I190" s="247"/>
      <c r="J190" s="247"/>
      <c r="K190" s="247"/>
      <c r="L190" s="247"/>
      <c r="M190" s="248"/>
      <c r="N190" s="239"/>
      <c r="O190" s="246" t="str">
        <f>IF(Előtörténet!C19&lt;&gt;"",Előtörténet!C19,"")</f>
        <v/>
      </c>
      <c r="P190" s="247"/>
      <c r="Q190" s="247"/>
      <c r="R190" s="247"/>
      <c r="S190" s="247"/>
      <c r="T190" s="247"/>
      <c r="U190" s="247"/>
      <c r="V190" s="247"/>
      <c r="W190" s="247"/>
      <c r="X190" s="247"/>
      <c r="Y190" s="247"/>
      <c r="Z190" s="247"/>
      <c r="AA190" s="248"/>
    </row>
    <row r="191" spans="2:27" ht="17.100000000000001" customHeight="1" x14ac:dyDescent="0.3">
      <c r="B191" s="246" t="str">
        <f>IF(Előtörténet!A20&lt;&gt;"",Előtörténet!A20,"")</f>
        <v/>
      </c>
      <c r="C191" s="247"/>
      <c r="D191" s="247"/>
      <c r="E191" s="247"/>
      <c r="F191" s="247"/>
      <c r="G191" s="247"/>
      <c r="H191" s="247"/>
      <c r="I191" s="247"/>
      <c r="J191" s="247"/>
      <c r="K191" s="247"/>
      <c r="L191" s="247"/>
      <c r="M191" s="248"/>
      <c r="N191" s="239"/>
      <c r="O191" s="246" t="str">
        <f>IF(Előtörténet!C20&lt;&gt;"",Előtörténet!C20,"")</f>
        <v/>
      </c>
      <c r="P191" s="247"/>
      <c r="Q191" s="247"/>
      <c r="R191" s="247"/>
      <c r="S191" s="247"/>
      <c r="T191" s="247"/>
      <c r="U191" s="247"/>
      <c r="V191" s="247"/>
      <c r="W191" s="247"/>
      <c r="X191" s="247"/>
      <c r="Y191" s="247"/>
      <c r="Z191" s="247"/>
      <c r="AA191" s="248"/>
    </row>
    <row r="192" spans="2:27" ht="17.100000000000001" customHeight="1" x14ac:dyDescent="0.3">
      <c r="B192" s="246" t="str">
        <f>IF(Előtörténet!A21&lt;&gt;"",Előtörténet!A21,"")</f>
        <v/>
      </c>
      <c r="C192" s="247"/>
      <c r="D192" s="247"/>
      <c r="E192" s="247"/>
      <c r="F192" s="247"/>
      <c r="G192" s="247"/>
      <c r="H192" s="247"/>
      <c r="I192" s="247"/>
      <c r="J192" s="247"/>
      <c r="K192" s="247"/>
      <c r="L192" s="247"/>
      <c r="M192" s="248"/>
      <c r="N192" s="239"/>
      <c r="O192" s="246" t="str">
        <f>IF(Előtörténet!C21&lt;&gt;"",Előtörténet!C21,"")</f>
        <v/>
      </c>
      <c r="P192" s="247"/>
      <c r="Q192" s="247"/>
      <c r="R192" s="247"/>
      <c r="S192" s="247"/>
      <c r="T192" s="247"/>
      <c r="U192" s="247"/>
      <c r="V192" s="247"/>
      <c r="W192" s="247"/>
      <c r="X192" s="247"/>
      <c r="Y192" s="247"/>
      <c r="Z192" s="247"/>
      <c r="AA192" s="248"/>
    </row>
    <row r="193" spans="2:27" ht="17.100000000000001" customHeight="1" x14ac:dyDescent="0.3">
      <c r="B193" s="249" t="str">
        <f>IF(Előtörténet!A22&lt;&gt;"",Előtörténet!A22,"")</f>
        <v/>
      </c>
      <c r="C193" s="250"/>
      <c r="D193" s="250"/>
      <c r="E193" s="250"/>
      <c r="F193" s="250"/>
      <c r="G193" s="250"/>
      <c r="H193" s="250"/>
      <c r="I193" s="250"/>
      <c r="J193" s="250"/>
      <c r="K193" s="250"/>
      <c r="L193" s="250"/>
      <c r="M193" s="251"/>
      <c r="N193" s="239"/>
      <c r="O193" s="249" t="str">
        <f>IF(Előtörténet!C22&lt;&gt;"",Előtörténet!C22,"")</f>
        <v/>
      </c>
      <c r="P193" s="250"/>
      <c r="Q193" s="250"/>
      <c r="R193" s="250"/>
      <c r="S193" s="250"/>
      <c r="T193" s="250"/>
      <c r="U193" s="250"/>
      <c r="V193" s="250"/>
      <c r="W193" s="250"/>
      <c r="X193" s="250"/>
      <c r="Y193" s="250"/>
      <c r="Z193" s="250"/>
      <c r="AA193" s="251"/>
    </row>
  </sheetData>
  <mergeCells count="808">
    <mergeCell ref="C6:H6"/>
    <mergeCell ref="C7:H7"/>
    <mergeCell ref="C8:H8"/>
    <mergeCell ref="P10:Q10"/>
    <mergeCell ref="K9:M9"/>
    <mergeCell ref="K7:Y7"/>
    <mergeCell ref="N8:O8"/>
    <mergeCell ref="X9:Y9"/>
    <mergeCell ref="V9:W9"/>
    <mergeCell ref="C9:H9"/>
    <mergeCell ref="N9:O9"/>
    <mergeCell ref="P9:Q9"/>
    <mergeCell ref="X8:Y8"/>
    <mergeCell ref="P8:Q8"/>
    <mergeCell ref="R8:S8"/>
    <mergeCell ref="T8:U8"/>
    <mergeCell ref="V8:W8"/>
    <mergeCell ref="X10:Y10"/>
    <mergeCell ref="C11:H11"/>
    <mergeCell ref="C12:H12"/>
    <mergeCell ref="C13:H13"/>
    <mergeCell ref="C14:H14"/>
    <mergeCell ref="K11:M11"/>
    <mergeCell ref="K14:M14"/>
    <mergeCell ref="J18:L18"/>
    <mergeCell ref="P11:Q11"/>
    <mergeCell ref="T9:U9"/>
    <mergeCell ref="T10:U10"/>
    <mergeCell ref="T11:U11"/>
    <mergeCell ref="R9:S9"/>
    <mergeCell ref="C10:H10"/>
    <mergeCell ref="N11:O11"/>
    <mergeCell ref="N10:O10"/>
    <mergeCell ref="R11:S11"/>
    <mergeCell ref="T12:U12"/>
    <mergeCell ref="K13:M13"/>
    <mergeCell ref="N13:O13"/>
    <mergeCell ref="R10:S10"/>
    <mergeCell ref="P12:Q12"/>
    <mergeCell ref="K10:M10"/>
    <mergeCell ref="R12:S12"/>
    <mergeCell ref="N12:O12"/>
    <mergeCell ref="P13:Q13"/>
    <mergeCell ref="P14:Q14"/>
    <mergeCell ref="P15:Q15"/>
    <mergeCell ref="N15:O15"/>
    <mergeCell ref="N14:O14"/>
    <mergeCell ref="V12:W12"/>
    <mergeCell ref="R13:S13"/>
    <mergeCell ref="R15:S15"/>
    <mergeCell ref="C18:H18"/>
    <mergeCell ref="K15:M15"/>
    <mergeCell ref="K12:M12"/>
    <mergeCell ref="J17:L17"/>
    <mergeCell ref="N17:P17"/>
    <mergeCell ref="V16:AA16"/>
    <mergeCell ref="V17:AA17"/>
    <mergeCell ref="X11:Y11"/>
    <mergeCell ref="X12:Y12"/>
    <mergeCell ref="X13:Y13"/>
    <mergeCell ref="T13:U13"/>
    <mergeCell ref="T14:U14"/>
    <mergeCell ref="V11:W11"/>
    <mergeCell ref="V10:W10"/>
    <mergeCell ref="V13:W13"/>
    <mergeCell ref="B21:K21"/>
    <mergeCell ref="M21:R21"/>
    <mergeCell ref="C19:H19"/>
    <mergeCell ref="C16:H16"/>
    <mergeCell ref="C17:H17"/>
    <mergeCell ref="X14:Y14"/>
    <mergeCell ref="X15:Y15"/>
    <mergeCell ref="V18:AA18"/>
    <mergeCell ref="V19:AA19"/>
    <mergeCell ref="V20:AA20"/>
    <mergeCell ref="R17:T17"/>
    <mergeCell ref="V15:W15"/>
    <mergeCell ref="R14:S14"/>
    <mergeCell ref="V14:W14"/>
    <mergeCell ref="T15:U15"/>
    <mergeCell ref="C15:H15"/>
    <mergeCell ref="B39:K39"/>
    <mergeCell ref="M33:R33"/>
    <mergeCell ref="M26:R26"/>
    <mergeCell ref="M39:R39"/>
    <mergeCell ref="B32:K32"/>
    <mergeCell ref="M30:R30"/>
    <mergeCell ref="M31:R31"/>
    <mergeCell ref="M32:R32"/>
    <mergeCell ref="M27:R27"/>
    <mergeCell ref="T21:Y21"/>
    <mergeCell ref="R18:T18"/>
    <mergeCell ref="M22:R22"/>
    <mergeCell ref="M23:R23"/>
    <mergeCell ref="M24:R24"/>
    <mergeCell ref="N18:P18"/>
    <mergeCell ref="T24:Y24"/>
    <mergeCell ref="T23:Y23"/>
    <mergeCell ref="M36:R36"/>
    <mergeCell ref="T33:Y33"/>
    <mergeCell ref="T22:Y22"/>
    <mergeCell ref="M35:R35"/>
    <mergeCell ref="M29:R29"/>
    <mergeCell ref="M25:R25"/>
    <mergeCell ref="T32:Y32"/>
    <mergeCell ref="T26:Y26"/>
    <mergeCell ref="M42:Q42"/>
    <mergeCell ref="R42:U42"/>
    <mergeCell ref="V42:Y42"/>
    <mergeCell ref="M43:Q43"/>
    <mergeCell ref="R43:U43"/>
    <mergeCell ref="V43:Y43"/>
    <mergeCell ref="T25:Y25"/>
    <mergeCell ref="T27:Y27"/>
    <mergeCell ref="M44:Q44"/>
    <mergeCell ref="R44:U44"/>
    <mergeCell ref="V44:Y44"/>
    <mergeCell ref="T36:Y36"/>
    <mergeCell ref="T37:Y37"/>
    <mergeCell ref="M41:Q41"/>
    <mergeCell ref="R41:U41"/>
    <mergeCell ref="V41:Y41"/>
    <mergeCell ref="M38:R38"/>
    <mergeCell ref="T39:Y39"/>
    <mergeCell ref="T38:Y38"/>
    <mergeCell ref="T30:Y30"/>
    <mergeCell ref="T29:Y29"/>
    <mergeCell ref="T31:Y31"/>
    <mergeCell ref="T35:Y35"/>
    <mergeCell ref="M37:R37"/>
    <mergeCell ref="M46:Q46"/>
    <mergeCell ref="R46:U46"/>
    <mergeCell ref="V46:Y46"/>
    <mergeCell ref="M47:Q47"/>
    <mergeCell ref="R47:U47"/>
    <mergeCell ref="V47:Y47"/>
    <mergeCell ref="M45:Q45"/>
    <mergeCell ref="R45:U45"/>
    <mergeCell ref="V45:Y45"/>
    <mergeCell ref="N154:Q154"/>
    <mergeCell ref="N155:Q155"/>
    <mergeCell ref="N156:Q156"/>
    <mergeCell ref="N157:Q157"/>
    <mergeCell ref="N153:Q153"/>
    <mergeCell ref="S153:V153"/>
    <mergeCell ref="X158:AA158"/>
    <mergeCell ref="X153:AA153"/>
    <mergeCell ref="S154:V154"/>
    <mergeCell ref="S155:V155"/>
    <mergeCell ref="S156:V156"/>
    <mergeCell ref="S157:V157"/>
    <mergeCell ref="X154:AA154"/>
    <mergeCell ref="X155:AA155"/>
    <mergeCell ref="C55:M55"/>
    <mergeCell ref="R59:S59"/>
    <mergeCell ref="T59:U59"/>
    <mergeCell ref="V59:W59"/>
    <mergeCell ref="X59:Z59"/>
    <mergeCell ref="S167:V167"/>
    <mergeCell ref="R60:S60"/>
    <mergeCell ref="N167:Q167"/>
    <mergeCell ref="N162:Q162"/>
    <mergeCell ref="N163:Q163"/>
    <mergeCell ref="S159:V159"/>
    <mergeCell ref="X156:AA156"/>
    <mergeCell ref="X157:AA157"/>
    <mergeCell ref="X159:AA159"/>
    <mergeCell ref="S158:V158"/>
    <mergeCell ref="X160:AA160"/>
    <mergeCell ref="S160:V160"/>
    <mergeCell ref="S161:V161"/>
    <mergeCell ref="X167:AA167"/>
    <mergeCell ref="N164:Q164"/>
    <mergeCell ref="N165:Q165"/>
    <mergeCell ref="N160:Q160"/>
    <mergeCell ref="N161:Q161"/>
    <mergeCell ref="X165:AA165"/>
    <mergeCell ref="R57:S57"/>
    <mergeCell ref="T57:U57"/>
    <mergeCell ref="V57:W57"/>
    <mergeCell ref="X57:Z57"/>
    <mergeCell ref="R56:S56"/>
    <mergeCell ref="T56:U56"/>
    <mergeCell ref="V56:W56"/>
    <mergeCell ref="X56:Z56"/>
    <mergeCell ref="R55:S55"/>
    <mergeCell ref="T55:U55"/>
    <mergeCell ref="V55:W55"/>
    <mergeCell ref="X55:Z55"/>
    <mergeCell ref="T60:U60"/>
    <mergeCell ref="V60:W60"/>
    <mergeCell ref="X60:Z60"/>
    <mergeCell ref="V61:W61"/>
    <mergeCell ref="X61:Z61"/>
    <mergeCell ref="R61:S61"/>
    <mergeCell ref="T61:U61"/>
    <mergeCell ref="R58:S58"/>
    <mergeCell ref="T58:U58"/>
    <mergeCell ref="V58:W58"/>
    <mergeCell ref="X58:Z58"/>
    <mergeCell ref="R63:S63"/>
    <mergeCell ref="T63:U63"/>
    <mergeCell ref="R64:S64"/>
    <mergeCell ref="T64:U64"/>
    <mergeCell ref="V63:W63"/>
    <mergeCell ref="X63:Z63"/>
    <mergeCell ref="R62:S62"/>
    <mergeCell ref="T62:U62"/>
    <mergeCell ref="V62:W62"/>
    <mergeCell ref="X62:Z62"/>
    <mergeCell ref="V67:W67"/>
    <mergeCell ref="X67:Z67"/>
    <mergeCell ref="R67:S67"/>
    <mergeCell ref="T67:U67"/>
    <mergeCell ref="R66:S66"/>
    <mergeCell ref="T66:U66"/>
    <mergeCell ref="V64:W64"/>
    <mergeCell ref="X64:Z64"/>
    <mergeCell ref="V65:W65"/>
    <mergeCell ref="X65:Z65"/>
    <mergeCell ref="V66:W66"/>
    <mergeCell ref="X66:Z66"/>
    <mergeCell ref="R65:S65"/>
    <mergeCell ref="T65:U65"/>
    <mergeCell ref="V71:W71"/>
    <mergeCell ref="X71:Z71"/>
    <mergeCell ref="R71:S71"/>
    <mergeCell ref="T71:U71"/>
    <mergeCell ref="R70:S70"/>
    <mergeCell ref="T70:U70"/>
    <mergeCell ref="V68:W68"/>
    <mergeCell ref="X68:Z68"/>
    <mergeCell ref="V69:W69"/>
    <mergeCell ref="X69:Z69"/>
    <mergeCell ref="V70:W70"/>
    <mergeCell ref="X70:Z70"/>
    <mergeCell ref="R69:S69"/>
    <mergeCell ref="T69:U69"/>
    <mergeCell ref="R68:S68"/>
    <mergeCell ref="T68:U68"/>
    <mergeCell ref="V75:W75"/>
    <mergeCell ref="X75:Z75"/>
    <mergeCell ref="R75:S75"/>
    <mergeCell ref="T75:U75"/>
    <mergeCell ref="R74:S74"/>
    <mergeCell ref="T74:U74"/>
    <mergeCell ref="V72:W72"/>
    <mergeCell ref="X72:Z72"/>
    <mergeCell ref="V73:W73"/>
    <mergeCell ref="X73:Z73"/>
    <mergeCell ref="V74:W74"/>
    <mergeCell ref="X74:Z74"/>
    <mergeCell ref="R73:S73"/>
    <mergeCell ref="T73:U73"/>
    <mergeCell ref="R72:S72"/>
    <mergeCell ref="T72:U72"/>
    <mergeCell ref="V79:W79"/>
    <mergeCell ref="X79:Z79"/>
    <mergeCell ref="R79:S79"/>
    <mergeCell ref="T79:U79"/>
    <mergeCell ref="R78:S78"/>
    <mergeCell ref="T78:U78"/>
    <mergeCell ref="V76:W76"/>
    <mergeCell ref="X76:Z76"/>
    <mergeCell ref="V77:W77"/>
    <mergeCell ref="X77:Z77"/>
    <mergeCell ref="V78:W78"/>
    <mergeCell ref="X78:Z78"/>
    <mergeCell ref="R77:S77"/>
    <mergeCell ref="T77:U77"/>
    <mergeCell ref="R76:S76"/>
    <mergeCell ref="T76:U76"/>
    <mergeCell ref="V83:W83"/>
    <mergeCell ref="X83:Z83"/>
    <mergeCell ref="R83:S83"/>
    <mergeCell ref="T83:U83"/>
    <mergeCell ref="R82:S82"/>
    <mergeCell ref="T82:U82"/>
    <mergeCell ref="V80:W80"/>
    <mergeCell ref="X80:Z80"/>
    <mergeCell ref="V81:W81"/>
    <mergeCell ref="X81:Z81"/>
    <mergeCell ref="V82:W82"/>
    <mergeCell ref="X82:Z82"/>
    <mergeCell ref="R81:S81"/>
    <mergeCell ref="T81:U81"/>
    <mergeCell ref="R80:S80"/>
    <mergeCell ref="T80:U80"/>
    <mergeCell ref="V87:W87"/>
    <mergeCell ref="X87:Z87"/>
    <mergeCell ref="R87:S87"/>
    <mergeCell ref="T87:U87"/>
    <mergeCell ref="R86:S86"/>
    <mergeCell ref="T86:U86"/>
    <mergeCell ref="V84:W84"/>
    <mergeCell ref="X84:Z84"/>
    <mergeCell ref="V85:W85"/>
    <mergeCell ref="X85:Z85"/>
    <mergeCell ref="V86:W86"/>
    <mergeCell ref="X86:Z86"/>
    <mergeCell ref="R85:S85"/>
    <mergeCell ref="T85:U85"/>
    <mergeCell ref="R84:S84"/>
    <mergeCell ref="T84:U84"/>
    <mergeCell ref="V91:W91"/>
    <mergeCell ref="X91:Z91"/>
    <mergeCell ref="R91:S91"/>
    <mergeCell ref="T91:U91"/>
    <mergeCell ref="R90:S90"/>
    <mergeCell ref="T90:U90"/>
    <mergeCell ref="V88:W88"/>
    <mergeCell ref="X88:Z88"/>
    <mergeCell ref="V89:W89"/>
    <mergeCell ref="X89:Z89"/>
    <mergeCell ref="V90:W90"/>
    <mergeCell ref="X90:Z90"/>
    <mergeCell ref="R89:S89"/>
    <mergeCell ref="T89:U89"/>
    <mergeCell ref="R88:S88"/>
    <mergeCell ref="T88:U88"/>
    <mergeCell ref="V104:W104"/>
    <mergeCell ref="X104:Z104"/>
    <mergeCell ref="R104:S104"/>
    <mergeCell ref="T104:U104"/>
    <mergeCell ref="R94:S94"/>
    <mergeCell ref="T94:U94"/>
    <mergeCell ref="V92:W92"/>
    <mergeCell ref="X92:Z92"/>
    <mergeCell ref="V93:W93"/>
    <mergeCell ref="X93:Z93"/>
    <mergeCell ref="V94:W94"/>
    <mergeCell ref="X94:Z94"/>
    <mergeCell ref="R93:S93"/>
    <mergeCell ref="T93:U93"/>
    <mergeCell ref="R92:S92"/>
    <mergeCell ref="T92:U92"/>
    <mergeCell ref="V108:W108"/>
    <mergeCell ref="X108:Z108"/>
    <mergeCell ref="R108:S108"/>
    <mergeCell ref="T108:U108"/>
    <mergeCell ref="R107:S107"/>
    <mergeCell ref="T107:U107"/>
    <mergeCell ref="V105:W105"/>
    <mergeCell ref="X105:Z105"/>
    <mergeCell ref="V106:W106"/>
    <mergeCell ref="X106:Z106"/>
    <mergeCell ref="V107:W107"/>
    <mergeCell ref="X107:Z107"/>
    <mergeCell ref="R106:S106"/>
    <mergeCell ref="T106:U106"/>
    <mergeCell ref="R105:S105"/>
    <mergeCell ref="T105:U105"/>
    <mergeCell ref="V112:W112"/>
    <mergeCell ref="X112:Z112"/>
    <mergeCell ref="R112:S112"/>
    <mergeCell ref="T112:U112"/>
    <mergeCell ref="R111:S111"/>
    <mergeCell ref="T111:U111"/>
    <mergeCell ref="V109:W109"/>
    <mergeCell ref="X109:Z109"/>
    <mergeCell ref="V110:W110"/>
    <mergeCell ref="X110:Z110"/>
    <mergeCell ref="V111:W111"/>
    <mergeCell ref="X111:Z111"/>
    <mergeCell ref="R110:S110"/>
    <mergeCell ref="T110:U110"/>
    <mergeCell ref="R109:S109"/>
    <mergeCell ref="T109:U109"/>
    <mergeCell ref="V116:W116"/>
    <mergeCell ref="X116:Z116"/>
    <mergeCell ref="R116:S116"/>
    <mergeCell ref="T116:U116"/>
    <mergeCell ref="R115:S115"/>
    <mergeCell ref="T115:U115"/>
    <mergeCell ref="V113:W113"/>
    <mergeCell ref="X113:Z113"/>
    <mergeCell ref="V114:W114"/>
    <mergeCell ref="X114:Z114"/>
    <mergeCell ref="V115:W115"/>
    <mergeCell ref="X115:Z115"/>
    <mergeCell ref="R114:S114"/>
    <mergeCell ref="T114:U114"/>
    <mergeCell ref="R113:S113"/>
    <mergeCell ref="T113:U113"/>
    <mergeCell ref="V120:W120"/>
    <mergeCell ref="X120:Z120"/>
    <mergeCell ref="R120:S120"/>
    <mergeCell ref="T120:U120"/>
    <mergeCell ref="R119:S119"/>
    <mergeCell ref="T119:U119"/>
    <mergeCell ref="V117:W117"/>
    <mergeCell ref="X117:Z117"/>
    <mergeCell ref="V118:W118"/>
    <mergeCell ref="X118:Z118"/>
    <mergeCell ref="V119:W119"/>
    <mergeCell ref="X119:Z119"/>
    <mergeCell ref="R118:S118"/>
    <mergeCell ref="T118:U118"/>
    <mergeCell ref="R117:S117"/>
    <mergeCell ref="T117:U117"/>
    <mergeCell ref="V124:W124"/>
    <mergeCell ref="X124:Z124"/>
    <mergeCell ref="R124:S124"/>
    <mergeCell ref="T124:U124"/>
    <mergeCell ref="R123:S123"/>
    <mergeCell ref="T123:U123"/>
    <mergeCell ref="V121:W121"/>
    <mergeCell ref="X121:Z121"/>
    <mergeCell ref="V122:W122"/>
    <mergeCell ref="X122:Z122"/>
    <mergeCell ref="V123:W123"/>
    <mergeCell ref="X123:Z123"/>
    <mergeCell ref="R122:S122"/>
    <mergeCell ref="T122:U122"/>
    <mergeCell ref="R121:S121"/>
    <mergeCell ref="T121:U121"/>
    <mergeCell ref="V128:W128"/>
    <mergeCell ref="X128:Z128"/>
    <mergeCell ref="R128:S128"/>
    <mergeCell ref="T128:U128"/>
    <mergeCell ref="R127:S127"/>
    <mergeCell ref="T127:U127"/>
    <mergeCell ref="V125:W125"/>
    <mergeCell ref="X125:Z125"/>
    <mergeCell ref="V126:W126"/>
    <mergeCell ref="X126:Z126"/>
    <mergeCell ref="V127:W127"/>
    <mergeCell ref="X127:Z127"/>
    <mergeCell ref="R126:S126"/>
    <mergeCell ref="T126:U126"/>
    <mergeCell ref="R125:S125"/>
    <mergeCell ref="T125:U125"/>
    <mergeCell ref="R131:S131"/>
    <mergeCell ref="T131:U131"/>
    <mergeCell ref="V131:W131"/>
    <mergeCell ref="V129:W129"/>
    <mergeCell ref="X129:Z129"/>
    <mergeCell ref="V130:W130"/>
    <mergeCell ref="X130:Z130"/>
    <mergeCell ref="X131:Z131"/>
    <mergeCell ref="R130:S130"/>
    <mergeCell ref="T130:U130"/>
    <mergeCell ref="R129:S129"/>
    <mergeCell ref="T129:U129"/>
    <mergeCell ref="R133:S133"/>
    <mergeCell ref="T133:U133"/>
    <mergeCell ref="V132:W132"/>
    <mergeCell ref="V133:W133"/>
    <mergeCell ref="X132:Z132"/>
    <mergeCell ref="X133:Z133"/>
    <mergeCell ref="C133:M133"/>
    <mergeCell ref="N133:O133"/>
    <mergeCell ref="P133:Q133"/>
    <mergeCell ref="R132:S132"/>
    <mergeCell ref="T132:U132"/>
    <mergeCell ref="R136:S136"/>
    <mergeCell ref="T136:U136"/>
    <mergeCell ref="R137:S137"/>
    <mergeCell ref="V134:W134"/>
    <mergeCell ref="X134:Z134"/>
    <mergeCell ref="V136:W136"/>
    <mergeCell ref="X136:Z136"/>
    <mergeCell ref="V135:W135"/>
    <mergeCell ref="X135:Z135"/>
    <mergeCell ref="R134:S134"/>
    <mergeCell ref="T134:U134"/>
    <mergeCell ref="R135:S135"/>
    <mergeCell ref="T135:U135"/>
    <mergeCell ref="T137:U137"/>
    <mergeCell ref="X137:Z137"/>
    <mergeCell ref="V137:W137"/>
    <mergeCell ref="V138:W138"/>
    <mergeCell ref="X138:Z138"/>
    <mergeCell ref="R139:S139"/>
    <mergeCell ref="T139:U139"/>
    <mergeCell ref="V139:W139"/>
    <mergeCell ref="X139:Z139"/>
    <mergeCell ref="R138:S138"/>
    <mergeCell ref="T138:U138"/>
    <mergeCell ref="J19:L19"/>
    <mergeCell ref="J20:L20"/>
    <mergeCell ref="N19:P19"/>
    <mergeCell ref="N20:P20"/>
    <mergeCell ref="R19:T19"/>
    <mergeCell ref="R20:T20"/>
    <mergeCell ref="C56:M56"/>
    <mergeCell ref="N55:Q55"/>
    <mergeCell ref="N56:O56"/>
    <mergeCell ref="P56:Q56"/>
    <mergeCell ref="C57:M57"/>
    <mergeCell ref="N57:O57"/>
    <mergeCell ref="P57:Q57"/>
    <mergeCell ref="C122:M122"/>
    <mergeCell ref="N122:O122"/>
    <mergeCell ref="C117:M117"/>
    <mergeCell ref="X143:Z143"/>
    <mergeCell ref="R143:S143"/>
    <mergeCell ref="T143:U143"/>
    <mergeCell ref="R140:S140"/>
    <mergeCell ref="T140:U140"/>
    <mergeCell ref="V140:W140"/>
    <mergeCell ref="X140:Z140"/>
    <mergeCell ref="T142:U142"/>
    <mergeCell ref="V142:W142"/>
    <mergeCell ref="X142:Z142"/>
    <mergeCell ref="R141:S141"/>
    <mergeCell ref="V141:W141"/>
    <mergeCell ref="R142:S142"/>
    <mergeCell ref="X141:Z141"/>
    <mergeCell ref="T141:U141"/>
    <mergeCell ref="V143:W143"/>
    <mergeCell ref="P172:AA172"/>
    <mergeCell ref="B172:M172"/>
    <mergeCell ref="S169:V169"/>
    <mergeCell ref="S170:V170"/>
    <mergeCell ref="N166:Q166"/>
    <mergeCell ref="N168:Q168"/>
    <mergeCell ref="N169:Q169"/>
    <mergeCell ref="X169:AA169"/>
    <mergeCell ref="N158:Q158"/>
    <mergeCell ref="S168:V168"/>
    <mergeCell ref="X166:AA166"/>
    <mergeCell ref="X164:AA164"/>
    <mergeCell ref="X168:AA168"/>
    <mergeCell ref="X161:AA161"/>
    <mergeCell ref="X162:AA162"/>
    <mergeCell ref="S163:V163"/>
    <mergeCell ref="N170:Q170"/>
    <mergeCell ref="S164:V164"/>
    <mergeCell ref="S165:V165"/>
    <mergeCell ref="S166:V166"/>
    <mergeCell ref="X170:AA170"/>
    <mergeCell ref="X163:AA163"/>
    <mergeCell ref="N159:Q159"/>
    <mergeCell ref="B164:L164"/>
    <mergeCell ref="B153:L153"/>
    <mergeCell ref="C134:M134"/>
    <mergeCell ref="N134:O134"/>
    <mergeCell ref="C130:M130"/>
    <mergeCell ref="N130:O130"/>
    <mergeCell ref="C125:M125"/>
    <mergeCell ref="N125:O125"/>
    <mergeCell ref="P125:Q125"/>
    <mergeCell ref="C126:M126"/>
    <mergeCell ref="N126:O126"/>
    <mergeCell ref="P126:Q126"/>
    <mergeCell ref="C127:M127"/>
    <mergeCell ref="N127:O127"/>
    <mergeCell ref="P127:Q127"/>
    <mergeCell ref="C132:M132"/>
    <mergeCell ref="N132:O132"/>
    <mergeCell ref="P132:Q132"/>
    <mergeCell ref="C137:M137"/>
    <mergeCell ref="N137:O137"/>
    <mergeCell ref="P137:Q137"/>
    <mergeCell ref="C138:M138"/>
    <mergeCell ref="N138:O138"/>
    <mergeCell ref="P138:Q138"/>
    <mergeCell ref="P134:Q134"/>
    <mergeCell ref="C65:M65"/>
    <mergeCell ref="N65:O65"/>
    <mergeCell ref="P65:Q65"/>
    <mergeCell ref="P68:Q68"/>
    <mergeCell ref="C69:M69"/>
    <mergeCell ref="N69:O69"/>
    <mergeCell ref="P69:Q69"/>
    <mergeCell ref="C70:M70"/>
    <mergeCell ref="N70:O70"/>
    <mergeCell ref="P70:Q70"/>
    <mergeCell ref="C66:M66"/>
    <mergeCell ref="N66:O66"/>
    <mergeCell ref="P66:Q66"/>
    <mergeCell ref="C67:M67"/>
    <mergeCell ref="N67:O67"/>
    <mergeCell ref="P67:Q67"/>
    <mergeCell ref="C68:M68"/>
    <mergeCell ref="N68:O68"/>
    <mergeCell ref="C58:M58"/>
    <mergeCell ref="N58:O58"/>
    <mergeCell ref="P58:Q58"/>
    <mergeCell ref="C59:M59"/>
    <mergeCell ref="N59:O59"/>
    <mergeCell ref="P59:Q59"/>
    <mergeCell ref="C64:M64"/>
    <mergeCell ref="N64:O64"/>
    <mergeCell ref="P64:Q64"/>
    <mergeCell ref="C62:M62"/>
    <mergeCell ref="N62:O62"/>
    <mergeCell ref="P62:Q62"/>
    <mergeCell ref="C63:M63"/>
    <mergeCell ref="N63:O63"/>
    <mergeCell ref="P63:Q63"/>
    <mergeCell ref="C60:M60"/>
    <mergeCell ref="N60:O60"/>
    <mergeCell ref="P60:Q60"/>
    <mergeCell ref="C61:M61"/>
    <mergeCell ref="N61:O61"/>
    <mergeCell ref="P61:Q61"/>
    <mergeCell ref="P73:Q73"/>
    <mergeCell ref="C74:M74"/>
    <mergeCell ref="N74:O74"/>
    <mergeCell ref="P74:Q74"/>
    <mergeCell ref="C75:M75"/>
    <mergeCell ref="N75:O75"/>
    <mergeCell ref="P75:Q75"/>
    <mergeCell ref="C71:M71"/>
    <mergeCell ref="N71:O71"/>
    <mergeCell ref="P71:Q71"/>
    <mergeCell ref="C72:M72"/>
    <mergeCell ref="N72:O72"/>
    <mergeCell ref="P72:Q72"/>
    <mergeCell ref="C73:M73"/>
    <mergeCell ref="N73:O73"/>
    <mergeCell ref="C79:M79"/>
    <mergeCell ref="N79:O79"/>
    <mergeCell ref="P79:Q79"/>
    <mergeCell ref="C80:M80"/>
    <mergeCell ref="N80:O80"/>
    <mergeCell ref="P80:Q80"/>
    <mergeCell ref="P76:Q76"/>
    <mergeCell ref="C77:M77"/>
    <mergeCell ref="N77:O77"/>
    <mergeCell ref="P77:Q77"/>
    <mergeCell ref="C78:M78"/>
    <mergeCell ref="N78:O78"/>
    <mergeCell ref="P78:Q78"/>
    <mergeCell ref="C76:M76"/>
    <mergeCell ref="N76:O76"/>
    <mergeCell ref="P84:Q84"/>
    <mergeCell ref="C85:M85"/>
    <mergeCell ref="N85:O85"/>
    <mergeCell ref="P85:Q85"/>
    <mergeCell ref="C86:M86"/>
    <mergeCell ref="N86:O86"/>
    <mergeCell ref="P86:Q86"/>
    <mergeCell ref="P81:Q81"/>
    <mergeCell ref="C82:M82"/>
    <mergeCell ref="N82:O82"/>
    <mergeCell ref="P82:Q82"/>
    <mergeCell ref="C83:M83"/>
    <mergeCell ref="N83:O83"/>
    <mergeCell ref="P83:Q83"/>
    <mergeCell ref="C84:M84"/>
    <mergeCell ref="N84:O84"/>
    <mergeCell ref="C81:M81"/>
    <mergeCell ref="N81:O81"/>
    <mergeCell ref="P89:Q89"/>
    <mergeCell ref="C90:M90"/>
    <mergeCell ref="N90:O90"/>
    <mergeCell ref="P90:Q90"/>
    <mergeCell ref="C91:M91"/>
    <mergeCell ref="N91:O91"/>
    <mergeCell ref="P91:Q91"/>
    <mergeCell ref="C87:M87"/>
    <mergeCell ref="N87:O87"/>
    <mergeCell ref="P87:Q87"/>
    <mergeCell ref="C88:M88"/>
    <mergeCell ref="N88:O88"/>
    <mergeCell ref="P88:Q88"/>
    <mergeCell ref="C89:M89"/>
    <mergeCell ref="N89:O89"/>
    <mergeCell ref="C104:M104"/>
    <mergeCell ref="N104:Q104"/>
    <mergeCell ref="C105:M105"/>
    <mergeCell ref="N105:O105"/>
    <mergeCell ref="P105:Q105"/>
    <mergeCell ref="P92:Q92"/>
    <mergeCell ref="C93:M93"/>
    <mergeCell ref="N93:O93"/>
    <mergeCell ref="P93:Q93"/>
    <mergeCell ref="C94:M94"/>
    <mergeCell ref="N94:O94"/>
    <mergeCell ref="P94:Q94"/>
    <mergeCell ref="C92:M92"/>
    <mergeCell ref="N92:O92"/>
    <mergeCell ref="P109:Q109"/>
    <mergeCell ref="C110:M110"/>
    <mergeCell ref="N110:O110"/>
    <mergeCell ref="P110:Q110"/>
    <mergeCell ref="C111:M111"/>
    <mergeCell ref="N111:O111"/>
    <mergeCell ref="P111:Q111"/>
    <mergeCell ref="P106:Q106"/>
    <mergeCell ref="C107:M107"/>
    <mergeCell ref="N107:O107"/>
    <mergeCell ref="P107:Q107"/>
    <mergeCell ref="C108:M108"/>
    <mergeCell ref="N108:O108"/>
    <mergeCell ref="P108:Q108"/>
    <mergeCell ref="C106:M106"/>
    <mergeCell ref="N106:O106"/>
    <mergeCell ref="C109:M109"/>
    <mergeCell ref="N109:O109"/>
    <mergeCell ref="P114:Q114"/>
    <mergeCell ref="C115:M115"/>
    <mergeCell ref="N115:O115"/>
    <mergeCell ref="P115:Q115"/>
    <mergeCell ref="C116:M116"/>
    <mergeCell ref="N116:O116"/>
    <mergeCell ref="P116:Q116"/>
    <mergeCell ref="C112:M112"/>
    <mergeCell ref="N112:O112"/>
    <mergeCell ref="P112:Q112"/>
    <mergeCell ref="C113:M113"/>
    <mergeCell ref="N113:O113"/>
    <mergeCell ref="P113:Q113"/>
    <mergeCell ref="C114:M114"/>
    <mergeCell ref="N114:O114"/>
    <mergeCell ref="C120:M120"/>
    <mergeCell ref="N120:O120"/>
    <mergeCell ref="P120:Q120"/>
    <mergeCell ref="C121:M121"/>
    <mergeCell ref="N121:O121"/>
    <mergeCell ref="P121:Q121"/>
    <mergeCell ref="P117:Q117"/>
    <mergeCell ref="C118:M118"/>
    <mergeCell ref="N118:O118"/>
    <mergeCell ref="P118:Q118"/>
    <mergeCell ref="C119:M119"/>
    <mergeCell ref="N119:O119"/>
    <mergeCell ref="P119:Q119"/>
    <mergeCell ref="N117:O117"/>
    <mergeCell ref="P122:Q122"/>
    <mergeCell ref="C123:M123"/>
    <mergeCell ref="N123:O123"/>
    <mergeCell ref="P123:Q123"/>
    <mergeCell ref="C124:M124"/>
    <mergeCell ref="N124:O124"/>
    <mergeCell ref="P124:Q124"/>
    <mergeCell ref="P130:Q130"/>
    <mergeCell ref="C131:M131"/>
    <mergeCell ref="N131:O131"/>
    <mergeCell ref="P131:Q131"/>
    <mergeCell ref="C128:M128"/>
    <mergeCell ref="N128:O128"/>
    <mergeCell ref="P128:Q128"/>
    <mergeCell ref="C129:M129"/>
    <mergeCell ref="N129:O129"/>
    <mergeCell ref="P129:Q129"/>
    <mergeCell ref="C135:M135"/>
    <mergeCell ref="N135:O135"/>
    <mergeCell ref="P135:Q135"/>
    <mergeCell ref="C136:M136"/>
    <mergeCell ref="N136:O136"/>
    <mergeCell ref="P136:Q136"/>
    <mergeCell ref="N141:O141"/>
    <mergeCell ref="P141:Q141"/>
    <mergeCell ref="C141:M141"/>
    <mergeCell ref="C142:M142"/>
    <mergeCell ref="N142:O142"/>
    <mergeCell ref="P142:Q142"/>
    <mergeCell ref="C143:M143"/>
    <mergeCell ref="N143:O143"/>
    <mergeCell ref="P143:Q143"/>
    <mergeCell ref="C139:M139"/>
    <mergeCell ref="N139:O139"/>
    <mergeCell ref="P139:Q139"/>
    <mergeCell ref="C140:M140"/>
    <mergeCell ref="N140:O140"/>
    <mergeCell ref="P140:Q140"/>
    <mergeCell ref="O191:AA191"/>
    <mergeCell ref="O192:AA192"/>
    <mergeCell ref="O193:AA193"/>
    <mergeCell ref="B182:M182"/>
    <mergeCell ref="B183:M183"/>
    <mergeCell ref="B184:M184"/>
    <mergeCell ref="B185:M185"/>
    <mergeCell ref="B186:M186"/>
    <mergeCell ref="B187:M187"/>
    <mergeCell ref="B188:M188"/>
    <mergeCell ref="B189:M189"/>
    <mergeCell ref="B190:M190"/>
    <mergeCell ref="O182:AA182"/>
    <mergeCell ref="O183:AA183"/>
    <mergeCell ref="O184:AA184"/>
    <mergeCell ref="O185:AA185"/>
    <mergeCell ref="O186:AA186"/>
    <mergeCell ref="O187:AA187"/>
    <mergeCell ref="O188:AA188"/>
    <mergeCell ref="O189:AA189"/>
    <mergeCell ref="O190:AA190"/>
    <mergeCell ref="O173:AA173"/>
    <mergeCell ref="O174:AA174"/>
    <mergeCell ref="O175:AA175"/>
    <mergeCell ref="O176:AA176"/>
    <mergeCell ref="O177:AA177"/>
    <mergeCell ref="O178:AA178"/>
    <mergeCell ref="O179:AA179"/>
    <mergeCell ref="O180:AA180"/>
    <mergeCell ref="O181:AA181"/>
    <mergeCell ref="B165:L165"/>
    <mergeCell ref="B166:L166"/>
    <mergeCell ref="B167:L167"/>
    <mergeCell ref="B168:L168"/>
    <mergeCell ref="B169:L169"/>
    <mergeCell ref="B170:L170"/>
    <mergeCell ref="B191:M191"/>
    <mergeCell ref="B192:M192"/>
    <mergeCell ref="B193:M193"/>
    <mergeCell ref="B173:M173"/>
    <mergeCell ref="B174:M174"/>
    <mergeCell ref="B175:M175"/>
    <mergeCell ref="B176:M176"/>
    <mergeCell ref="B177:M177"/>
    <mergeCell ref="B178:M178"/>
    <mergeCell ref="B179:M179"/>
    <mergeCell ref="B180:M180"/>
    <mergeCell ref="B181:M181"/>
  </mergeCells>
  <phoneticPr fontId="6" type="noConversion"/>
  <conditionalFormatting sqref="B22:K31">
    <cfRule type="cellIs" dxfId="5" priority="1" stopIfTrue="1" operator="greaterThan">
      <formula>$AJ$1</formula>
    </cfRule>
  </conditionalFormatting>
  <conditionalFormatting sqref="B33:K38">
    <cfRule type="cellIs" dxfId="4" priority="2" stopIfTrue="1" operator="greaterThan">
      <formula>$AJ$2</formula>
    </cfRule>
  </conditionalFormatting>
  <conditionalFormatting sqref="B40:K45">
    <cfRule type="cellIs" dxfId="3" priority="3" stopIfTrue="1" operator="greaterThan">
      <formula>$AJ$3</formula>
    </cfRule>
  </conditionalFormatting>
  <printOptions horizontalCentered="1" verticalCentered="1"/>
  <pageMargins left="0" right="0" top="0.39370078740157483" bottom="0.39370078740157483" header="0" footer="0"/>
  <pageSetup paperSize="9" scale="97" orientation="portrait"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Munka2">
    <tabColor indexed="50"/>
  </sheetPr>
  <dimension ref="A1:P249"/>
  <sheetViews>
    <sheetView zoomScale="85" workbookViewId="0">
      <pane ySplit="1" topLeftCell="A94" activePane="bottomLeft" state="frozen"/>
      <selection pane="bottomLeft" activeCell="I98" sqref="I98"/>
    </sheetView>
  </sheetViews>
  <sheetFormatPr defaultColWidth="11.28515625" defaultRowHeight="15" x14ac:dyDescent="0.25"/>
  <cols>
    <col min="1" max="2" width="9.28515625" style="4" customWidth="1"/>
    <col min="3" max="3" width="10.42578125" style="4" customWidth="1"/>
    <col min="4" max="4" width="9.28515625" style="4" customWidth="1"/>
    <col min="5" max="5" width="10.5703125" style="4" customWidth="1"/>
    <col min="6" max="6" width="15" style="4" customWidth="1"/>
    <col min="7" max="7" width="9.28515625" style="4" customWidth="1"/>
    <col min="8" max="8" width="18.85546875" style="4" bestFit="1" customWidth="1"/>
    <col min="9" max="9" width="45" style="4" customWidth="1"/>
    <col min="10" max="10" width="49.7109375" style="214" customWidth="1"/>
    <col min="11" max="11" width="18.140625" style="4" customWidth="1"/>
    <col min="12" max="12" width="13" style="4" customWidth="1"/>
    <col min="13" max="13" width="25.7109375" style="4" customWidth="1"/>
    <col min="14" max="14" width="30.5703125" style="4" bestFit="1" customWidth="1"/>
    <col min="15" max="99" width="10.28515625" style="4" customWidth="1"/>
    <col min="100" max="16384" width="11.28515625" style="4"/>
  </cols>
  <sheetData>
    <row r="1" spans="1:14" s="2" customFormat="1" ht="21" customHeight="1" x14ac:dyDescent="0.25">
      <c r="A1" s="110" t="s">
        <v>864</v>
      </c>
      <c r="B1" s="110" t="s">
        <v>865</v>
      </c>
      <c r="C1" s="110" t="s">
        <v>866</v>
      </c>
      <c r="D1" s="110" t="s">
        <v>867</v>
      </c>
      <c r="E1" s="110" t="s">
        <v>868</v>
      </c>
      <c r="F1" s="110" t="s">
        <v>875</v>
      </c>
      <c r="G1" s="110" t="s">
        <v>1213</v>
      </c>
      <c r="H1" s="110" t="s">
        <v>413</v>
      </c>
      <c r="I1" s="110" t="s">
        <v>871</v>
      </c>
      <c r="J1" s="110" t="s">
        <v>870</v>
      </c>
      <c r="K1" s="110" t="s">
        <v>872</v>
      </c>
      <c r="L1" s="110" t="s">
        <v>1693</v>
      </c>
      <c r="M1" s="110" t="s">
        <v>889</v>
      </c>
      <c r="N1" s="110" t="s">
        <v>2041</v>
      </c>
    </row>
    <row r="2" spans="1:14" ht="60" x14ac:dyDescent="0.25">
      <c r="A2" s="111" t="s">
        <v>874</v>
      </c>
      <c r="B2" s="111" t="s">
        <v>874</v>
      </c>
      <c r="C2" s="111"/>
      <c r="D2" s="111"/>
      <c r="E2" s="111"/>
      <c r="F2" s="111" t="s">
        <v>874</v>
      </c>
      <c r="G2" s="112">
        <v>1</v>
      </c>
      <c r="H2" s="112" t="s">
        <v>1372</v>
      </c>
      <c r="I2" s="114" t="s">
        <v>1589</v>
      </c>
      <c r="J2" s="113" t="s">
        <v>1450</v>
      </c>
      <c r="K2" s="112"/>
      <c r="L2" s="112"/>
      <c r="M2" s="114"/>
    </row>
    <row r="3" spans="1:14" ht="45" x14ac:dyDescent="0.25">
      <c r="A3" s="111" t="s">
        <v>874</v>
      </c>
      <c r="B3" s="111" t="s">
        <v>874</v>
      </c>
      <c r="C3" s="111"/>
      <c r="D3" s="111"/>
      <c r="E3" s="111"/>
      <c r="F3" s="111" t="s">
        <v>874</v>
      </c>
      <c r="G3" s="112">
        <v>1</v>
      </c>
      <c r="H3" s="112" t="s">
        <v>1451</v>
      </c>
      <c r="I3" s="2" t="s">
        <v>1720</v>
      </c>
      <c r="J3" s="113" t="s">
        <v>1486</v>
      </c>
      <c r="K3" s="112"/>
      <c r="L3" s="112"/>
      <c r="M3" s="114"/>
    </row>
    <row r="4" spans="1:14" ht="75" x14ac:dyDescent="0.25">
      <c r="A4" s="111" t="s">
        <v>874</v>
      </c>
      <c r="B4" s="111" t="s">
        <v>874</v>
      </c>
      <c r="C4" s="111"/>
      <c r="D4" s="111"/>
      <c r="E4" s="111"/>
      <c r="F4" s="111" t="s">
        <v>874</v>
      </c>
      <c r="G4" s="112">
        <v>1</v>
      </c>
      <c r="H4" s="112" t="s">
        <v>1452</v>
      </c>
      <c r="I4" s="113" t="s">
        <v>190</v>
      </c>
      <c r="J4" s="216" t="s">
        <v>1469</v>
      </c>
      <c r="K4" s="112"/>
      <c r="L4" s="112"/>
      <c r="M4" s="114"/>
    </row>
    <row r="5" spans="1:14" ht="45" x14ac:dyDescent="0.25">
      <c r="A5" s="115" t="s">
        <v>874</v>
      </c>
      <c r="B5" s="115" t="s">
        <v>874</v>
      </c>
      <c r="C5" s="115"/>
      <c r="D5" s="115"/>
      <c r="E5" s="115"/>
      <c r="F5" s="115" t="s">
        <v>874</v>
      </c>
      <c r="G5" s="114">
        <v>1</v>
      </c>
      <c r="H5" s="114" t="s">
        <v>1363</v>
      </c>
      <c r="I5" s="114" t="s">
        <v>1365</v>
      </c>
      <c r="J5" s="216" t="s">
        <v>1366</v>
      </c>
      <c r="K5" s="114" t="s">
        <v>1364</v>
      </c>
      <c r="L5" s="114"/>
      <c r="M5" s="114"/>
    </row>
    <row r="6" spans="1:14" ht="45" x14ac:dyDescent="0.25">
      <c r="A6" s="111" t="s">
        <v>874</v>
      </c>
      <c r="B6" s="111" t="s">
        <v>874</v>
      </c>
      <c r="C6" s="111"/>
      <c r="D6" s="111"/>
      <c r="E6" s="111"/>
      <c r="F6" s="111" t="s">
        <v>874</v>
      </c>
      <c r="G6" s="112">
        <v>1</v>
      </c>
      <c r="H6" s="112" t="s">
        <v>1174</v>
      </c>
      <c r="I6" s="113" t="s">
        <v>1470</v>
      </c>
      <c r="J6" s="216" t="s">
        <v>1471</v>
      </c>
      <c r="K6" s="112" t="s">
        <v>1173</v>
      </c>
      <c r="L6" s="112"/>
      <c r="M6" s="114"/>
    </row>
    <row r="7" spans="1:14" ht="30" x14ac:dyDescent="0.25">
      <c r="A7" s="115" t="s">
        <v>874</v>
      </c>
      <c r="B7" s="115" t="s">
        <v>874</v>
      </c>
      <c r="C7" s="115"/>
      <c r="D7" s="115"/>
      <c r="E7" s="115"/>
      <c r="F7" s="115"/>
      <c r="G7" s="114">
        <v>1</v>
      </c>
      <c r="H7" s="114" t="s">
        <v>1883</v>
      </c>
      <c r="I7" s="114" t="s">
        <v>351</v>
      </c>
      <c r="J7" s="216" t="s">
        <v>1885</v>
      </c>
      <c r="K7" s="114" t="s">
        <v>1884</v>
      </c>
      <c r="L7" s="114"/>
      <c r="M7" s="114"/>
    </row>
    <row r="8" spans="1:14" ht="45" x14ac:dyDescent="0.25">
      <c r="A8" s="111" t="s">
        <v>874</v>
      </c>
      <c r="B8" s="111" t="s">
        <v>874</v>
      </c>
      <c r="C8" s="111"/>
      <c r="D8" s="111"/>
      <c r="E8" s="111"/>
      <c r="F8" s="111" t="s">
        <v>874</v>
      </c>
      <c r="G8" s="112">
        <v>1</v>
      </c>
      <c r="H8" s="112" t="s">
        <v>1453</v>
      </c>
      <c r="I8" s="113" t="s">
        <v>1472</v>
      </c>
      <c r="J8" s="216" t="s">
        <v>1487</v>
      </c>
      <c r="K8" s="112"/>
      <c r="L8" s="112"/>
      <c r="M8" s="114"/>
    </row>
    <row r="9" spans="1:14" ht="75" x14ac:dyDescent="0.25">
      <c r="A9" s="111" t="s">
        <v>874</v>
      </c>
      <c r="B9" s="111" t="s">
        <v>874</v>
      </c>
      <c r="C9" s="111"/>
      <c r="D9" s="111"/>
      <c r="E9" s="111"/>
      <c r="F9" s="111" t="s">
        <v>874</v>
      </c>
      <c r="G9" s="112">
        <v>1</v>
      </c>
      <c r="H9" s="112" t="s">
        <v>1454</v>
      </c>
      <c r="I9" s="114" t="s">
        <v>1721</v>
      </c>
      <c r="J9" s="113" t="s">
        <v>862</v>
      </c>
      <c r="K9" s="112"/>
      <c r="L9" s="112"/>
      <c r="M9" s="114"/>
    </row>
    <row r="10" spans="1:14" ht="60" x14ac:dyDescent="0.25">
      <c r="A10" s="111" t="s">
        <v>874</v>
      </c>
      <c r="B10" s="111" t="s">
        <v>874</v>
      </c>
      <c r="C10" s="111"/>
      <c r="D10" s="111"/>
      <c r="E10" s="111"/>
      <c r="F10" s="111" t="s">
        <v>874</v>
      </c>
      <c r="G10" s="112">
        <v>1</v>
      </c>
      <c r="H10" s="112" t="s">
        <v>863</v>
      </c>
      <c r="I10" s="116" t="s">
        <v>1473</v>
      </c>
      <c r="J10" s="216" t="s">
        <v>1474</v>
      </c>
      <c r="K10" s="112"/>
      <c r="L10" s="112"/>
      <c r="M10" s="114"/>
    </row>
    <row r="11" spans="1:14" ht="45" x14ac:dyDescent="0.25">
      <c r="A11" s="111"/>
      <c r="B11" s="111"/>
      <c r="C11" s="111" t="s">
        <v>874</v>
      </c>
      <c r="D11" s="111"/>
      <c r="E11" s="111"/>
      <c r="F11" s="111" t="s">
        <v>874</v>
      </c>
      <c r="G11" s="112">
        <v>1</v>
      </c>
      <c r="H11" s="112" t="s">
        <v>169</v>
      </c>
      <c r="I11" s="113" t="s">
        <v>1475</v>
      </c>
      <c r="J11" s="216" t="s">
        <v>1476</v>
      </c>
      <c r="K11" s="112"/>
      <c r="L11" s="112"/>
      <c r="M11" s="114"/>
    </row>
    <row r="12" spans="1:14" ht="45" x14ac:dyDescent="0.25">
      <c r="A12" s="115" t="s">
        <v>874</v>
      </c>
      <c r="B12" s="115" t="s">
        <v>874</v>
      </c>
      <c r="C12" s="115"/>
      <c r="D12" s="115"/>
      <c r="E12" s="115"/>
      <c r="F12" s="115" t="s">
        <v>874</v>
      </c>
      <c r="G12" s="114">
        <v>1</v>
      </c>
      <c r="H12" s="114" t="s">
        <v>873</v>
      </c>
      <c r="I12" s="114" t="s">
        <v>352</v>
      </c>
      <c r="J12" s="216" t="s">
        <v>2017</v>
      </c>
      <c r="K12" s="114" t="s">
        <v>876</v>
      </c>
      <c r="L12" s="114"/>
      <c r="M12" s="216" t="s">
        <v>887</v>
      </c>
      <c r="N12" s="214" t="s">
        <v>874</v>
      </c>
    </row>
    <row r="13" spans="1:14" ht="45" x14ac:dyDescent="0.25">
      <c r="A13" s="115"/>
      <c r="B13" s="115"/>
      <c r="C13" s="115"/>
      <c r="D13" s="115" t="s">
        <v>874</v>
      </c>
      <c r="E13" s="115"/>
      <c r="F13" s="115" t="s">
        <v>874</v>
      </c>
      <c r="G13" s="114">
        <v>1</v>
      </c>
      <c r="H13" s="114" t="s">
        <v>888</v>
      </c>
      <c r="I13" s="114" t="s">
        <v>1382</v>
      </c>
      <c r="J13" s="113" t="s">
        <v>175</v>
      </c>
      <c r="K13" s="114"/>
      <c r="L13" s="114"/>
      <c r="M13" s="114"/>
    </row>
    <row r="14" spans="1:14" ht="30" x14ac:dyDescent="0.25">
      <c r="A14" s="111"/>
      <c r="B14" s="111" t="s">
        <v>874</v>
      </c>
      <c r="C14" s="111"/>
      <c r="D14" s="111"/>
      <c r="E14" s="111"/>
      <c r="F14" s="111" t="s">
        <v>874</v>
      </c>
      <c r="G14" s="112">
        <v>1</v>
      </c>
      <c r="H14" s="112" t="s">
        <v>170</v>
      </c>
      <c r="I14" s="113" t="s">
        <v>1477</v>
      </c>
      <c r="J14" s="216" t="s">
        <v>1478</v>
      </c>
      <c r="K14" s="112" t="s">
        <v>622</v>
      </c>
      <c r="L14" s="112"/>
      <c r="M14" s="114"/>
    </row>
    <row r="15" spans="1:14" ht="90" x14ac:dyDescent="0.25">
      <c r="A15" s="111" t="s">
        <v>874</v>
      </c>
      <c r="B15" s="111" t="s">
        <v>874</v>
      </c>
      <c r="C15" s="111"/>
      <c r="D15" s="111"/>
      <c r="E15" s="111"/>
      <c r="F15" s="111"/>
      <c r="G15" s="112">
        <v>1</v>
      </c>
      <c r="H15" s="112" t="s">
        <v>1184</v>
      </c>
      <c r="I15" s="116" t="s">
        <v>326</v>
      </c>
      <c r="J15" s="216" t="s">
        <v>327</v>
      </c>
      <c r="K15" s="112" t="s">
        <v>1183</v>
      </c>
      <c r="L15" s="112"/>
      <c r="M15" s="114"/>
    </row>
    <row r="16" spans="1:14" ht="45" x14ac:dyDescent="0.25">
      <c r="A16" s="111" t="s">
        <v>874</v>
      </c>
      <c r="B16" s="111" t="s">
        <v>874</v>
      </c>
      <c r="C16" s="111"/>
      <c r="D16" s="111"/>
      <c r="E16" s="111"/>
      <c r="F16" s="111" t="s">
        <v>874</v>
      </c>
      <c r="G16" s="112">
        <v>1</v>
      </c>
      <c r="H16" s="112" t="s">
        <v>1172</v>
      </c>
      <c r="I16" s="113" t="s">
        <v>1479</v>
      </c>
      <c r="J16" s="216" t="s">
        <v>1480</v>
      </c>
      <c r="K16" s="112" t="s">
        <v>1171</v>
      </c>
      <c r="L16" s="112"/>
      <c r="M16" s="114"/>
    </row>
    <row r="17" spans="1:13" ht="60" x14ac:dyDescent="0.25">
      <c r="A17" s="115" t="s">
        <v>874</v>
      </c>
      <c r="B17" s="115" t="s">
        <v>874</v>
      </c>
      <c r="C17" s="115"/>
      <c r="D17" s="115"/>
      <c r="E17" s="115"/>
      <c r="F17" s="115" t="s">
        <v>874</v>
      </c>
      <c r="G17" s="114">
        <v>1</v>
      </c>
      <c r="H17" s="114" t="s">
        <v>1877</v>
      </c>
      <c r="I17" s="114" t="s">
        <v>1878</v>
      </c>
      <c r="J17" s="216" t="s">
        <v>1384</v>
      </c>
      <c r="K17" s="114"/>
      <c r="L17" s="114"/>
      <c r="M17" s="114"/>
    </row>
    <row r="18" spans="1:13" ht="30" x14ac:dyDescent="0.25">
      <c r="A18" s="111"/>
      <c r="B18" s="111"/>
      <c r="C18" s="111" t="s">
        <v>874</v>
      </c>
      <c r="D18" s="111"/>
      <c r="E18" s="111"/>
      <c r="F18" s="111"/>
      <c r="G18" s="112">
        <v>1</v>
      </c>
      <c r="H18" s="112" t="s">
        <v>171</v>
      </c>
      <c r="I18" s="113" t="s">
        <v>1481</v>
      </c>
      <c r="J18" s="216" t="s">
        <v>1482</v>
      </c>
      <c r="K18" s="112"/>
      <c r="L18" s="112"/>
      <c r="M18" s="114"/>
    </row>
    <row r="19" spans="1:13" ht="180" x14ac:dyDescent="0.25">
      <c r="A19" s="115" t="s">
        <v>874</v>
      </c>
      <c r="B19" s="115" t="s">
        <v>874</v>
      </c>
      <c r="C19" s="115"/>
      <c r="D19" s="115"/>
      <c r="E19" s="115"/>
      <c r="F19" s="115" t="s">
        <v>874</v>
      </c>
      <c r="G19" s="114">
        <v>1</v>
      </c>
      <c r="H19" s="114" t="s">
        <v>1834</v>
      </c>
      <c r="I19" s="114" t="s">
        <v>1837</v>
      </c>
      <c r="J19" s="113" t="s">
        <v>1836</v>
      </c>
      <c r="K19" s="114"/>
      <c r="L19" s="114" t="s">
        <v>1835</v>
      </c>
      <c r="M19" s="114"/>
    </row>
    <row r="20" spans="1:13" ht="75" x14ac:dyDescent="0.25">
      <c r="A20" s="111"/>
      <c r="B20" s="111"/>
      <c r="C20" s="111" t="s">
        <v>874</v>
      </c>
      <c r="D20" s="111"/>
      <c r="E20" s="111"/>
      <c r="F20" s="111" t="s">
        <v>874</v>
      </c>
      <c r="G20" s="112">
        <v>2</v>
      </c>
      <c r="H20" s="112" t="s">
        <v>172</v>
      </c>
      <c r="I20" s="116" t="s">
        <v>1483</v>
      </c>
      <c r="J20" s="216" t="s">
        <v>1484</v>
      </c>
      <c r="K20" s="112"/>
      <c r="L20" s="112"/>
      <c r="M20" s="114"/>
    </row>
    <row r="21" spans="1:13" ht="45" x14ac:dyDescent="0.25">
      <c r="A21" s="111" t="s">
        <v>874</v>
      </c>
      <c r="B21" s="111" t="s">
        <v>874</v>
      </c>
      <c r="C21" s="111"/>
      <c r="D21" s="111"/>
      <c r="E21" s="111"/>
      <c r="F21" s="111" t="s">
        <v>874</v>
      </c>
      <c r="G21" s="112">
        <v>2</v>
      </c>
      <c r="H21" s="112" t="s">
        <v>65</v>
      </c>
      <c r="I21" s="113" t="s">
        <v>1485</v>
      </c>
      <c r="J21" s="216" t="s">
        <v>1488</v>
      </c>
      <c r="K21" s="112" t="s">
        <v>64</v>
      </c>
      <c r="L21" s="112"/>
      <c r="M21" s="114"/>
    </row>
    <row r="22" spans="1:13" ht="75" x14ac:dyDescent="0.25">
      <c r="A22" s="111" t="s">
        <v>874</v>
      </c>
      <c r="B22" s="111" t="s">
        <v>874</v>
      </c>
      <c r="C22" s="111"/>
      <c r="D22" s="111"/>
      <c r="E22" s="111"/>
      <c r="F22" s="111"/>
      <c r="G22" s="112">
        <v>2</v>
      </c>
      <c r="H22" s="112" t="s">
        <v>475</v>
      </c>
      <c r="I22" s="116" t="s">
        <v>220</v>
      </c>
      <c r="J22" s="216" t="s">
        <v>221</v>
      </c>
      <c r="K22" s="112" t="s">
        <v>474</v>
      </c>
      <c r="L22" s="112"/>
      <c r="M22" s="114"/>
    </row>
    <row r="23" spans="1:13" ht="60" x14ac:dyDescent="0.25">
      <c r="A23" s="115" t="s">
        <v>874</v>
      </c>
      <c r="B23" s="115" t="s">
        <v>874</v>
      </c>
      <c r="C23" s="115"/>
      <c r="D23" s="115"/>
      <c r="E23" s="115"/>
      <c r="F23" s="115" t="s">
        <v>874</v>
      </c>
      <c r="G23" s="114">
        <v>2</v>
      </c>
      <c r="H23" s="114" t="s">
        <v>1841</v>
      </c>
      <c r="I23" s="114" t="s">
        <v>353</v>
      </c>
      <c r="J23" s="216" t="s">
        <v>1618</v>
      </c>
      <c r="K23" s="114" t="s">
        <v>1839</v>
      </c>
      <c r="L23" s="114"/>
      <c r="M23" s="114"/>
    </row>
    <row r="24" spans="1:13" s="6" customFormat="1" ht="30" x14ac:dyDescent="0.25">
      <c r="A24" s="111"/>
      <c r="B24" s="111"/>
      <c r="C24" s="111" t="s">
        <v>874</v>
      </c>
      <c r="D24" s="111"/>
      <c r="E24" s="111"/>
      <c r="F24" s="111"/>
      <c r="G24" s="112">
        <v>2</v>
      </c>
      <c r="H24" s="112" t="s">
        <v>633</v>
      </c>
      <c r="I24" s="113" t="s">
        <v>222</v>
      </c>
      <c r="J24" s="216" t="s">
        <v>1619</v>
      </c>
      <c r="K24" s="112"/>
      <c r="L24" s="112"/>
      <c r="M24" s="114"/>
    </row>
    <row r="25" spans="1:13" ht="45" x14ac:dyDescent="0.25">
      <c r="A25" s="111"/>
      <c r="B25" s="111"/>
      <c r="C25" s="111" t="s">
        <v>874</v>
      </c>
      <c r="D25" s="111"/>
      <c r="E25" s="111"/>
      <c r="F25" s="111"/>
      <c r="G25" s="112">
        <v>2</v>
      </c>
      <c r="H25" s="112" t="s">
        <v>634</v>
      </c>
      <c r="I25" s="113" t="s">
        <v>223</v>
      </c>
      <c r="J25" s="216" t="s">
        <v>224</v>
      </c>
      <c r="K25" s="112"/>
      <c r="L25" s="112"/>
      <c r="M25" s="114"/>
    </row>
    <row r="26" spans="1:13" s="6" customFormat="1" ht="30" x14ac:dyDescent="0.25">
      <c r="A26" s="9" t="s">
        <v>874</v>
      </c>
      <c r="B26" s="9" t="s">
        <v>874</v>
      </c>
      <c r="C26" s="9"/>
      <c r="F26" s="9" t="s">
        <v>874</v>
      </c>
      <c r="G26" s="6">
        <v>2</v>
      </c>
      <c r="H26" s="13" t="s">
        <v>2059</v>
      </c>
      <c r="I26" s="7" t="s">
        <v>2062</v>
      </c>
      <c r="J26" s="214" t="s">
        <v>2061</v>
      </c>
      <c r="K26" s="214" t="s">
        <v>2056</v>
      </c>
      <c r="M26" s="213" t="s">
        <v>2060</v>
      </c>
    </row>
    <row r="27" spans="1:13" ht="93.75" customHeight="1" x14ac:dyDescent="0.25">
      <c r="A27" s="111"/>
      <c r="B27" s="111" t="s">
        <v>874</v>
      </c>
      <c r="C27" s="111"/>
      <c r="D27" s="111"/>
      <c r="E27" s="111"/>
      <c r="F27" s="111" t="s">
        <v>874</v>
      </c>
      <c r="G27" s="112">
        <v>2</v>
      </c>
      <c r="H27" s="112" t="s">
        <v>635</v>
      </c>
      <c r="I27" s="113" t="s">
        <v>1722</v>
      </c>
      <c r="J27" s="216" t="s">
        <v>225</v>
      </c>
      <c r="K27" s="112" t="s">
        <v>587</v>
      </c>
      <c r="L27" s="112"/>
      <c r="M27" s="114"/>
    </row>
    <row r="28" spans="1:13" ht="45" x14ac:dyDescent="0.25">
      <c r="A28" s="111" t="s">
        <v>874</v>
      </c>
      <c r="B28" s="111" t="s">
        <v>874</v>
      </c>
      <c r="C28" s="111"/>
      <c r="D28" s="111"/>
      <c r="E28" s="111"/>
      <c r="F28" s="111" t="s">
        <v>874</v>
      </c>
      <c r="G28" s="112">
        <v>2</v>
      </c>
      <c r="H28" s="112" t="s">
        <v>1767</v>
      </c>
      <c r="I28" s="113" t="s">
        <v>226</v>
      </c>
      <c r="J28" s="216" t="s">
        <v>811</v>
      </c>
      <c r="K28" s="112" t="s">
        <v>588</v>
      </c>
      <c r="L28" s="112"/>
      <c r="M28" s="114"/>
    </row>
    <row r="29" spans="1:13" ht="60" x14ac:dyDescent="0.25">
      <c r="A29" s="111" t="s">
        <v>874</v>
      </c>
      <c r="B29" s="111" t="s">
        <v>874</v>
      </c>
      <c r="C29" s="111"/>
      <c r="D29" s="111"/>
      <c r="E29" s="111"/>
      <c r="F29" s="111"/>
      <c r="G29" s="112">
        <v>2</v>
      </c>
      <c r="H29" s="112" t="s">
        <v>473</v>
      </c>
      <c r="I29" s="113" t="s">
        <v>812</v>
      </c>
      <c r="J29" s="216" t="s">
        <v>813</v>
      </c>
      <c r="K29" s="112" t="s">
        <v>472</v>
      </c>
      <c r="L29" s="112"/>
      <c r="M29" s="114"/>
    </row>
    <row r="30" spans="1:13" ht="30" x14ac:dyDescent="0.25">
      <c r="A30" s="111" t="s">
        <v>874</v>
      </c>
      <c r="B30" s="111" t="s">
        <v>874</v>
      </c>
      <c r="C30" s="111"/>
      <c r="D30" s="111"/>
      <c r="E30" s="111"/>
      <c r="F30" s="111" t="s">
        <v>874</v>
      </c>
      <c r="G30" s="112">
        <v>2</v>
      </c>
      <c r="H30" s="112" t="s">
        <v>589</v>
      </c>
      <c r="I30" s="114" t="s">
        <v>814</v>
      </c>
      <c r="J30" s="113" t="s">
        <v>590</v>
      </c>
      <c r="K30" s="112"/>
      <c r="L30" s="112"/>
      <c r="M30" s="114"/>
    </row>
    <row r="31" spans="1:13" ht="60" x14ac:dyDescent="0.25">
      <c r="A31" s="115"/>
      <c r="B31" s="115" t="s">
        <v>874</v>
      </c>
      <c r="C31" s="115"/>
      <c r="D31" s="115"/>
      <c r="E31" s="115"/>
      <c r="F31" s="115" t="s">
        <v>874</v>
      </c>
      <c r="G31" s="114">
        <v>2</v>
      </c>
      <c r="H31" s="114" t="s">
        <v>881</v>
      </c>
      <c r="I31" s="114" t="s">
        <v>595</v>
      </c>
      <c r="J31" s="216" t="s">
        <v>594</v>
      </c>
      <c r="K31" s="114" t="s">
        <v>774</v>
      </c>
      <c r="L31" s="114"/>
      <c r="M31" s="114"/>
    </row>
    <row r="32" spans="1:13" ht="30" x14ac:dyDescent="0.25">
      <c r="A32" s="111"/>
      <c r="B32" s="111"/>
      <c r="C32" s="111" t="s">
        <v>874</v>
      </c>
      <c r="D32" s="111"/>
      <c r="E32" s="111"/>
      <c r="F32" s="111"/>
      <c r="G32" s="112">
        <v>2</v>
      </c>
      <c r="H32" s="112" t="s">
        <v>591</v>
      </c>
      <c r="I32" s="113" t="s">
        <v>815</v>
      </c>
      <c r="J32" s="216" t="s">
        <v>816</v>
      </c>
      <c r="K32" s="112"/>
      <c r="L32" s="112"/>
      <c r="M32" s="114"/>
    </row>
    <row r="33" spans="1:16" ht="45" x14ac:dyDescent="0.25">
      <c r="A33" s="111"/>
      <c r="B33" s="111" t="s">
        <v>874</v>
      </c>
      <c r="C33" s="111"/>
      <c r="D33" s="111"/>
      <c r="E33" s="111"/>
      <c r="F33" s="111"/>
      <c r="G33" s="112">
        <v>2</v>
      </c>
      <c r="H33" s="112" t="s">
        <v>1186</v>
      </c>
      <c r="I33" s="113" t="s">
        <v>817</v>
      </c>
      <c r="J33" s="216" t="s">
        <v>1568</v>
      </c>
      <c r="K33" s="112" t="s">
        <v>1185</v>
      </c>
      <c r="L33" s="112"/>
      <c r="M33" s="114"/>
    </row>
    <row r="34" spans="1:16" ht="30" x14ac:dyDescent="0.25">
      <c r="A34" s="111"/>
      <c r="B34" s="111"/>
      <c r="C34" s="111"/>
      <c r="D34" s="111" t="s">
        <v>874</v>
      </c>
      <c r="E34" s="111"/>
      <c r="F34" s="111"/>
      <c r="G34" s="112">
        <v>2</v>
      </c>
      <c r="H34" s="112" t="s">
        <v>83</v>
      </c>
      <c r="I34" s="113" t="s">
        <v>1723</v>
      </c>
      <c r="J34" s="216" t="s">
        <v>596</v>
      </c>
      <c r="K34" s="112" t="s">
        <v>476</v>
      </c>
      <c r="L34" s="112"/>
      <c r="M34" s="114"/>
    </row>
    <row r="35" spans="1:16" ht="90" x14ac:dyDescent="0.25">
      <c r="A35" s="115" t="s">
        <v>874</v>
      </c>
      <c r="B35" s="115" t="s">
        <v>874</v>
      </c>
      <c r="C35" s="115"/>
      <c r="D35" s="115"/>
      <c r="E35" s="115"/>
      <c r="F35" s="115" t="s">
        <v>874</v>
      </c>
      <c r="G35" s="114">
        <v>2</v>
      </c>
      <c r="H35" s="114" t="s">
        <v>880</v>
      </c>
      <c r="I35" s="114" t="s">
        <v>1445</v>
      </c>
      <c r="J35" s="216" t="s">
        <v>2038</v>
      </c>
      <c r="K35" s="114"/>
      <c r="L35" s="114"/>
      <c r="M35" s="114"/>
    </row>
    <row r="36" spans="1:16" ht="60" x14ac:dyDescent="0.25">
      <c r="A36" s="111"/>
      <c r="B36" s="111"/>
      <c r="C36" s="111"/>
      <c r="D36" s="111" t="s">
        <v>874</v>
      </c>
      <c r="E36" s="111"/>
      <c r="F36" s="111" t="s">
        <v>874</v>
      </c>
      <c r="G36" s="112">
        <v>2</v>
      </c>
      <c r="H36" s="112" t="s">
        <v>592</v>
      </c>
      <c r="I36" s="114" t="s">
        <v>1569</v>
      </c>
      <c r="J36" s="113" t="s">
        <v>593</v>
      </c>
      <c r="K36" s="112" t="s">
        <v>477</v>
      </c>
      <c r="L36" s="112"/>
      <c r="M36" s="216" t="s">
        <v>887</v>
      </c>
    </row>
    <row r="37" spans="1:16" ht="75" x14ac:dyDescent="0.25">
      <c r="A37" s="111" t="s">
        <v>874</v>
      </c>
      <c r="B37" s="111" t="s">
        <v>874</v>
      </c>
      <c r="C37" s="111"/>
      <c r="D37" s="111"/>
      <c r="E37" s="111"/>
      <c r="F37" s="111" t="s">
        <v>874</v>
      </c>
      <c r="G37" s="112">
        <v>2</v>
      </c>
      <c r="H37" s="112" t="s">
        <v>177</v>
      </c>
      <c r="I37" s="113" t="s">
        <v>1571</v>
      </c>
      <c r="J37" s="216" t="s">
        <v>1572</v>
      </c>
      <c r="K37" s="112"/>
      <c r="L37" s="112"/>
      <c r="M37" s="114"/>
    </row>
    <row r="38" spans="1:16" ht="30" x14ac:dyDescent="0.25">
      <c r="A38" s="115"/>
      <c r="B38" s="115"/>
      <c r="C38" s="115"/>
      <c r="D38" s="115" t="s">
        <v>874</v>
      </c>
      <c r="E38" s="115"/>
      <c r="F38" s="115" t="s">
        <v>874</v>
      </c>
      <c r="G38" s="114">
        <v>2</v>
      </c>
      <c r="H38" s="114" t="s">
        <v>1675</v>
      </c>
      <c r="I38" s="114" t="s">
        <v>1678</v>
      </c>
      <c r="J38" s="216" t="s">
        <v>1677</v>
      </c>
      <c r="K38" s="114" t="s">
        <v>1676</v>
      </c>
      <c r="L38" s="114"/>
      <c r="M38" s="114"/>
    </row>
    <row r="39" spans="1:16" ht="45" x14ac:dyDescent="0.25">
      <c r="A39" s="111"/>
      <c r="B39" s="111"/>
      <c r="C39" s="111"/>
      <c r="D39" s="111" t="s">
        <v>874</v>
      </c>
      <c r="E39" s="111"/>
      <c r="F39" s="111" t="s">
        <v>874</v>
      </c>
      <c r="G39" s="112">
        <v>2</v>
      </c>
      <c r="H39" s="112" t="s">
        <v>178</v>
      </c>
      <c r="I39" s="113" t="s">
        <v>1573</v>
      </c>
      <c r="J39" s="216" t="s">
        <v>1574</v>
      </c>
      <c r="K39" s="112" t="s">
        <v>1863</v>
      </c>
      <c r="L39" s="112"/>
      <c r="M39" s="114"/>
    </row>
    <row r="40" spans="1:16" ht="45" x14ac:dyDescent="0.25">
      <c r="A40" s="115" t="s">
        <v>874</v>
      </c>
      <c r="B40" s="115" t="s">
        <v>874</v>
      </c>
      <c r="C40" s="115"/>
      <c r="D40" s="115"/>
      <c r="E40" s="115"/>
      <c r="F40" s="115" t="s">
        <v>874</v>
      </c>
      <c r="G40" s="114">
        <v>2</v>
      </c>
      <c r="H40" s="114" t="s">
        <v>879</v>
      </c>
      <c r="I40" s="114" t="s">
        <v>894</v>
      </c>
      <c r="J40" s="216" t="s">
        <v>885</v>
      </c>
      <c r="K40" s="114" t="s">
        <v>869</v>
      </c>
      <c r="L40" s="114"/>
      <c r="M40" s="114"/>
    </row>
    <row r="41" spans="1:16" ht="75" x14ac:dyDescent="0.25">
      <c r="A41" s="111" t="s">
        <v>874</v>
      </c>
      <c r="B41" s="111" t="s">
        <v>874</v>
      </c>
      <c r="C41" s="111"/>
      <c r="D41" s="111"/>
      <c r="E41" s="111"/>
      <c r="F41" s="111" t="s">
        <v>874</v>
      </c>
      <c r="G41" s="112">
        <v>2</v>
      </c>
      <c r="H41" s="112" t="s">
        <v>471</v>
      </c>
      <c r="I41" s="113" t="s">
        <v>1575</v>
      </c>
      <c r="J41" s="216" t="s">
        <v>1576</v>
      </c>
      <c r="K41" s="112" t="s">
        <v>1176</v>
      </c>
      <c r="L41" s="112"/>
      <c r="M41" s="114"/>
    </row>
    <row r="42" spans="1:16" ht="30" x14ac:dyDescent="0.25">
      <c r="A42" s="111" t="s">
        <v>874</v>
      </c>
      <c r="B42" s="111" t="s">
        <v>874</v>
      </c>
      <c r="C42" s="111"/>
      <c r="D42" s="111"/>
      <c r="E42" s="111"/>
      <c r="F42" s="111" t="s">
        <v>874</v>
      </c>
      <c r="G42" s="112">
        <v>2</v>
      </c>
      <c r="H42" s="112" t="s">
        <v>179</v>
      </c>
      <c r="I42" s="114" t="s">
        <v>1577</v>
      </c>
      <c r="J42" s="113" t="s">
        <v>180</v>
      </c>
      <c r="K42" s="112"/>
      <c r="L42" s="112"/>
      <c r="M42" s="114"/>
    </row>
    <row r="43" spans="1:16" ht="75" x14ac:dyDescent="0.25">
      <c r="A43" s="111"/>
      <c r="B43" s="111"/>
      <c r="C43" s="111" t="s">
        <v>874</v>
      </c>
      <c r="D43" s="111"/>
      <c r="E43" s="111"/>
      <c r="F43" s="111" t="s">
        <v>874</v>
      </c>
      <c r="G43" s="112">
        <v>2</v>
      </c>
      <c r="H43" s="112" t="s">
        <v>181</v>
      </c>
      <c r="I43" s="113" t="s">
        <v>328</v>
      </c>
      <c r="J43" s="216" t="s">
        <v>329</v>
      </c>
      <c r="K43" s="112" t="s">
        <v>1765</v>
      </c>
      <c r="L43" s="112"/>
      <c r="M43" s="114"/>
    </row>
    <row r="44" spans="1:16" ht="45" x14ac:dyDescent="0.25">
      <c r="A44" s="111" t="s">
        <v>874</v>
      </c>
      <c r="B44" s="111" t="s">
        <v>874</v>
      </c>
      <c r="C44" s="111"/>
      <c r="D44" s="111"/>
      <c r="E44" s="111"/>
      <c r="F44" s="111" t="s">
        <v>874</v>
      </c>
      <c r="G44" s="112">
        <v>2</v>
      </c>
      <c r="H44" s="112" t="s">
        <v>182</v>
      </c>
      <c r="I44" s="113" t="s">
        <v>330</v>
      </c>
      <c r="J44" s="216" t="s">
        <v>331</v>
      </c>
      <c r="K44" s="112"/>
      <c r="L44" s="112"/>
      <c r="M44" s="216" t="s">
        <v>887</v>
      </c>
    </row>
    <row r="45" spans="1:16" ht="60" x14ac:dyDescent="0.25">
      <c r="A45" s="111"/>
      <c r="B45" s="111" t="s">
        <v>874</v>
      </c>
      <c r="C45" s="111"/>
      <c r="D45" s="111"/>
      <c r="E45" s="111"/>
      <c r="F45" s="111" t="s">
        <v>874</v>
      </c>
      <c r="G45" s="112">
        <v>2</v>
      </c>
      <c r="H45" s="112" t="s">
        <v>1170</v>
      </c>
      <c r="I45" s="113" t="s">
        <v>1791</v>
      </c>
      <c r="J45" s="216" t="s">
        <v>1792</v>
      </c>
      <c r="K45" s="112" t="s">
        <v>1006</v>
      </c>
      <c r="L45" s="112"/>
      <c r="M45" s="114"/>
    </row>
    <row r="46" spans="1:16" ht="30" x14ac:dyDescent="0.25">
      <c r="A46" s="220" t="s">
        <v>874</v>
      </c>
      <c r="B46" s="220" t="s">
        <v>874</v>
      </c>
      <c r="C46" s="109"/>
      <c r="D46" s="109"/>
      <c r="E46" s="109"/>
      <c r="F46" s="220" t="s">
        <v>874</v>
      </c>
      <c r="G46">
        <v>2</v>
      </c>
      <c r="H46" s="215" t="s">
        <v>1973</v>
      </c>
      <c r="I46" s="214" t="s">
        <v>1975</v>
      </c>
      <c r="J46" s="1" t="s">
        <v>1974</v>
      </c>
      <c r="K46"/>
      <c r="L46"/>
      <c r="M46"/>
      <c r="N46"/>
      <c r="O46" t="s">
        <v>874</v>
      </c>
      <c r="P46"/>
    </row>
    <row r="47" spans="1:16" ht="75" x14ac:dyDescent="0.25">
      <c r="A47" s="111" t="s">
        <v>874</v>
      </c>
      <c r="B47" s="111" t="s">
        <v>874</v>
      </c>
      <c r="C47" s="111"/>
      <c r="D47" s="111"/>
      <c r="E47" s="111"/>
      <c r="F47" s="111" t="s">
        <v>874</v>
      </c>
      <c r="G47" s="112">
        <v>2</v>
      </c>
      <c r="H47" s="112" t="s">
        <v>183</v>
      </c>
      <c r="I47" s="113" t="s">
        <v>1793</v>
      </c>
      <c r="J47" s="216" t="s">
        <v>1794</v>
      </c>
      <c r="K47" s="112"/>
      <c r="L47" s="112"/>
      <c r="M47" s="114"/>
    </row>
    <row r="48" spans="1:16" ht="60" x14ac:dyDescent="0.25">
      <c r="A48" s="111" t="s">
        <v>874</v>
      </c>
      <c r="B48" s="111" t="s">
        <v>874</v>
      </c>
      <c r="C48" s="111"/>
      <c r="D48" s="111"/>
      <c r="E48" s="111"/>
      <c r="F48" s="111" t="s">
        <v>874</v>
      </c>
      <c r="G48" s="112">
        <v>3</v>
      </c>
      <c r="H48" s="112" t="s">
        <v>1852</v>
      </c>
      <c r="I48" s="116" t="s">
        <v>1700</v>
      </c>
      <c r="J48" s="216" t="s">
        <v>1730</v>
      </c>
      <c r="K48" s="112" t="s">
        <v>1851</v>
      </c>
      <c r="L48" s="112"/>
      <c r="M48" s="114"/>
    </row>
    <row r="49" spans="1:13" ht="30" x14ac:dyDescent="0.25">
      <c r="A49" s="111" t="s">
        <v>874</v>
      </c>
      <c r="B49" s="111" t="s">
        <v>874</v>
      </c>
      <c r="C49" s="111"/>
      <c r="D49" s="111"/>
      <c r="E49" s="111"/>
      <c r="F49" s="111"/>
      <c r="G49" s="112">
        <v>3</v>
      </c>
      <c r="H49" s="112" t="s">
        <v>1862</v>
      </c>
      <c r="I49" s="113" t="s">
        <v>1795</v>
      </c>
      <c r="J49" s="216" t="s">
        <v>1796</v>
      </c>
      <c r="K49" s="112" t="s">
        <v>1861</v>
      </c>
      <c r="L49" s="112"/>
      <c r="M49" s="114"/>
    </row>
    <row r="50" spans="1:13" ht="75" x14ac:dyDescent="0.25">
      <c r="A50" s="111" t="s">
        <v>874</v>
      </c>
      <c r="B50" s="111" t="s">
        <v>874</v>
      </c>
      <c r="C50" s="111"/>
      <c r="D50" s="111"/>
      <c r="E50" s="111"/>
      <c r="F50" s="111"/>
      <c r="G50" s="112">
        <v>3</v>
      </c>
      <c r="H50" s="112" t="s">
        <v>1858</v>
      </c>
      <c r="I50" s="116" t="s">
        <v>1797</v>
      </c>
      <c r="J50" s="216" t="s">
        <v>1798</v>
      </c>
      <c r="K50" s="112" t="s">
        <v>1857</v>
      </c>
      <c r="L50" s="112"/>
      <c r="M50" s="114"/>
    </row>
    <row r="51" spans="1:13" ht="60" x14ac:dyDescent="0.25">
      <c r="A51" s="111" t="s">
        <v>874</v>
      </c>
      <c r="B51" s="111" t="s">
        <v>874</v>
      </c>
      <c r="C51" s="111"/>
      <c r="D51" s="111"/>
      <c r="E51" s="111"/>
      <c r="F51" s="111" t="s">
        <v>874</v>
      </c>
      <c r="G51" s="112">
        <v>3</v>
      </c>
      <c r="H51" s="112" t="s">
        <v>184</v>
      </c>
      <c r="I51" s="113" t="s">
        <v>1799</v>
      </c>
      <c r="J51" s="216" t="s">
        <v>722</v>
      </c>
      <c r="K51" s="112"/>
      <c r="L51" s="112"/>
      <c r="M51" s="114"/>
    </row>
    <row r="52" spans="1:13" ht="45" x14ac:dyDescent="0.25">
      <c r="A52" s="111" t="s">
        <v>874</v>
      </c>
      <c r="B52" s="111" t="s">
        <v>874</v>
      </c>
      <c r="C52" s="111"/>
      <c r="D52" s="111"/>
      <c r="E52" s="111"/>
      <c r="F52" s="111" t="s">
        <v>874</v>
      </c>
      <c r="G52" s="112">
        <v>3</v>
      </c>
      <c r="H52" s="112" t="s">
        <v>185</v>
      </c>
      <c r="I52" s="113" t="s">
        <v>1800</v>
      </c>
      <c r="J52" s="216" t="s">
        <v>1801</v>
      </c>
      <c r="K52" s="112"/>
      <c r="L52" s="112"/>
      <c r="M52" s="114"/>
    </row>
    <row r="53" spans="1:13" ht="30" x14ac:dyDescent="0.25">
      <c r="A53" s="111" t="s">
        <v>874</v>
      </c>
      <c r="B53" s="111" t="s">
        <v>874</v>
      </c>
      <c r="C53" s="111"/>
      <c r="D53" s="111"/>
      <c r="E53" s="111"/>
      <c r="F53" s="111" t="s">
        <v>874</v>
      </c>
      <c r="G53" s="112">
        <v>3</v>
      </c>
      <c r="H53" s="112" t="s">
        <v>186</v>
      </c>
      <c r="I53" s="114" t="s">
        <v>723</v>
      </c>
      <c r="J53" s="113" t="s">
        <v>725</v>
      </c>
      <c r="K53" s="112"/>
      <c r="L53" s="112"/>
      <c r="M53" s="114"/>
    </row>
    <row r="54" spans="1:13" ht="30" x14ac:dyDescent="0.25">
      <c r="A54" s="111" t="s">
        <v>874</v>
      </c>
      <c r="B54" s="111" t="s">
        <v>874</v>
      </c>
      <c r="C54" s="111"/>
      <c r="D54" s="111"/>
      <c r="E54" s="111"/>
      <c r="F54" s="111" t="s">
        <v>874</v>
      </c>
      <c r="G54" s="112">
        <v>3</v>
      </c>
      <c r="H54" s="112" t="s">
        <v>187</v>
      </c>
      <c r="I54" s="114" t="s">
        <v>1620</v>
      </c>
      <c r="J54" s="113" t="s">
        <v>724</v>
      </c>
      <c r="K54" s="112"/>
      <c r="L54" s="112"/>
      <c r="M54" s="114"/>
    </row>
    <row r="55" spans="1:13" ht="150" x14ac:dyDescent="0.25">
      <c r="A55" s="115" t="s">
        <v>874</v>
      </c>
      <c r="B55" s="115" t="s">
        <v>874</v>
      </c>
      <c r="C55" s="115"/>
      <c r="D55" s="115"/>
      <c r="E55" s="115"/>
      <c r="F55" s="115" t="s">
        <v>874</v>
      </c>
      <c r="G55" s="114">
        <v>3</v>
      </c>
      <c r="H55" s="114" t="s">
        <v>1686</v>
      </c>
      <c r="I55" s="114" t="s">
        <v>168</v>
      </c>
      <c r="J55" s="113" t="s">
        <v>1383</v>
      </c>
      <c r="K55" s="114" t="s">
        <v>167</v>
      </c>
      <c r="L55" s="114" t="s">
        <v>1003</v>
      </c>
      <c r="M55" s="114"/>
    </row>
    <row r="56" spans="1:13" ht="45" x14ac:dyDescent="0.25">
      <c r="A56" s="111" t="s">
        <v>874</v>
      </c>
      <c r="B56" s="111" t="s">
        <v>874</v>
      </c>
      <c r="C56" s="111"/>
      <c r="D56" s="111"/>
      <c r="E56" s="111"/>
      <c r="F56" s="111" t="s">
        <v>874</v>
      </c>
      <c r="G56" s="112">
        <v>3</v>
      </c>
      <c r="H56" s="112" t="s">
        <v>188</v>
      </c>
      <c r="I56" s="113" t="s">
        <v>726</v>
      </c>
      <c r="J56" s="216" t="s">
        <v>1643</v>
      </c>
      <c r="K56" s="112"/>
      <c r="L56" s="112"/>
      <c r="M56" s="114"/>
    </row>
    <row r="57" spans="1:13" ht="30" x14ac:dyDescent="0.25">
      <c r="A57" s="111"/>
      <c r="B57" s="111"/>
      <c r="C57" s="111"/>
      <c r="D57" s="111" t="s">
        <v>874</v>
      </c>
      <c r="E57" s="111" t="s">
        <v>874</v>
      </c>
      <c r="F57" s="111" t="s">
        <v>874</v>
      </c>
      <c r="G57" s="112">
        <v>3</v>
      </c>
      <c r="H57" s="112" t="s">
        <v>1774</v>
      </c>
      <c r="I57" s="113" t="s">
        <v>727</v>
      </c>
      <c r="J57" s="216" t="s">
        <v>728</v>
      </c>
      <c r="K57" s="112" t="s">
        <v>1773</v>
      </c>
      <c r="L57" s="112"/>
      <c r="M57" s="114"/>
    </row>
    <row r="58" spans="1:13" ht="45" x14ac:dyDescent="0.25">
      <c r="A58" s="111" t="s">
        <v>874</v>
      </c>
      <c r="B58" s="111" t="s">
        <v>874</v>
      </c>
      <c r="C58" s="111"/>
      <c r="D58" s="111"/>
      <c r="E58" s="111"/>
      <c r="F58" s="111"/>
      <c r="G58" s="112">
        <v>3</v>
      </c>
      <c r="H58" s="112" t="s">
        <v>1856</v>
      </c>
      <c r="I58" s="113" t="s">
        <v>729</v>
      </c>
      <c r="J58" s="216" t="s">
        <v>730</v>
      </c>
      <c r="K58" s="112" t="s">
        <v>1855</v>
      </c>
      <c r="L58" s="112"/>
      <c r="M58" s="114"/>
    </row>
    <row r="59" spans="1:13" ht="45" x14ac:dyDescent="0.25">
      <c r="A59" s="111" t="s">
        <v>874</v>
      </c>
      <c r="B59" s="111" t="s">
        <v>874</v>
      </c>
      <c r="C59" s="111"/>
      <c r="D59" s="111"/>
      <c r="E59" s="111"/>
      <c r="F59" s="111" t="s">
        <v>874</v>
      </c>
      <c r="G59" s="112">
        <v>3</v>
      </c>
      <c r="H59" s="112" t="s">
        <v>1770</v>
      </c>
      <c r="I59" s="113" t="s">
        <v>731</v>
      </c>
      <c r="J59" s="216" t="s">
        <v>732</v>
      </c>
      <c r="K59" s="112" t="s">
        <v>1769</v>
      </c>
      <c r="L59" s="112"/>
      <c r="M59" s="114"/>
    </row>
    <row r="60" spans="1:13" ht="75" x14ac:dyDescent="0.25">
      <c r="A60" s="111"/>
      <c r="B60" s="111"/>
      <c r="C60" s="111" t="s">
        <v>874</v>
      </c>
      <c r="D60" s="111"/>
      <c r="E60" s="111"/>
      <c r="F60" s="111"/>
      <c r="G60" s="112">
        <v>4</v>
      </c>
      <c r="H60" s="112" t="s">
        <v>189</v>
      </c>
      <c r="I60" s="114" t="s">
        <v>733</v>
      </c>
      <c r="J60" s="113" t="s">
        <v>2019</v>
      </c>
      <c r="K60" s="112"/>
      <c r="L60" s="112"/>
      <c r="M60" s="114"/>
    </row>
    <row r="61" spans="1:13" ht="90" x14ac:dyDescent="0.25">
      <c r="A61" s="111" t="s">
        <v>874</v>
      </c>
      <c r="B61" s="111" t="s">
        <v>874</v>
      </c>
      <c r="C61" s="111"/>
      <c r="D61" s="111"/>
      <c r="E61" s="111"/>
      <c r="F61" s="111"/>
      <c r="G61" s="112">
        <v>4</v>
      </c>
      <c r="H61" s="112" t="s">
        <v>1374</v>
      </c>
      <c r="I61" s="116" t="s">
        <v>1697</v>
      </c>
      <c r="J61" s="217" t="s">
        <v>2020</v>
      </c>
      <c r="K61" s="112"/>
      <c r="L61" s="112"/>
      <c r="M61" s="114"/>
    </row>
    <row r="62" spans="1:13" ht="66" customHeight="1" x14ac:dyDescent="0.25">
      <c r="A62" s="111" t="s">
        <v>874</v>
      </c>
      <c r="B62" s="111" t="s">
        <v>874</v>
      </c>
      <c r="C62" s="111"/>
      <c r="D62" s="111"/>
      <c r="E62" s="111"/>
      <c r="F62" s="111" t="s">
        <v>874</v>
      </c>
      <c r="G62" s="112">
        <v>4</v>
      </c>
      <c r="H62" s="112" t="s">
        <v>757</v>
      </c>
      <c r="I62" s="113" t="s">
        <v>1698</v>
      </c>
      <c r="J62" s="216" t="s">
        <v>1699</v>
      </c>
      <c r="K62" s="112" t="s">
        <v>756</v>
      </c>
      <c r="L62" s="112"/>
      <c r="M62" s="114"/>
    </row>
    <row r="63" spans="1:13" ht="45" x14ac:dyDescent="0.25">
      <c r="A63" s="115" t="s">
        <v>874</v>
      </c>
      <c r="B63" s="115" t="s">
        <v>874</v>
      </c>
      <c r="C63" s="115" t="s">
        <v>874</v>
      </c>
      <c r="D63" s="115" t="s">
        <v>874</v>
      </c>
      <c r="E63" s="115" t="s">
        <v>874</v>
      </c>
      <c r="F63" s="115" t="s">
        <v>874</v>
      </c>
      <c r="G63" s="114">
        <v>4</v>
      </c>
      <c r="H63" s="114" t="s">
        <v>886</v>
      </c>
      <c r="I63" s="114" t="s">
        <v>773</v>
      </c>
      <c r="J63" s="116" t="s">
        <v>1644</v>
      </c>
      <c r="K63" s="114"/>
      <c r="L63" s="114"/>
      <c r="M63" s="114"/>
    </row>
    <row r="64" spans="1:13" ht="75" x14ac:dyDescent="0.25">
      <c r="A64" s="115" t="s">
        <v>874</v>
      </c>
      <c r="B64" s="115" t="s">
        <v>874</v>
      </c>
      <c r="C64" s="115"/>
      <c r="D64" s="115"/>
      <c r="E64" s="115"/>
      <c r="F64" s="115" t="s">
        <v>874</v>
      </c>
      <c r="G64" s="114">
        <v>4</v>
      </c>
      <c r="H64" s="114" t="s">
        <v>1380</v>
      </c>
      <c r="I64" s="113" t="s">
        <v>1381</v>
      </c>
      <c r="J64" s="216" t="s">
        <v>720</v>
      </c>
      <c r="K64" s="114"/>
      <c r="L64" s="114"/>
      <c r="M64" s="114"/>
    </row>
    <row r="65" spans="1:14" ht="45" x14ac:dyDescent="0.25">
      <c r="A65" s="111"/>
      <c r="B65" s="111"/>
      <c r="C65" s="111" t="s">
        <v>874</v>
      </c>
      <c r="D65" s="111"/>
      <c r="E65" s="111"/>
      <c r="F65" s="111"/>
      <c r="G65" s="112">
        <v>4</v>
      </c>
      <c r="H65" s="112" t="s">
        <v>1931</v>
      </c>
      <c r="I65" s="113" t="s">
        <v>1701</v>
      </c>
      <c r="J65" s="216" t="s">
        <v>1702</v>
      </c>
      <c r="K65" s="112"/>
      <c r="L65" s="112"/>
      <c r="M65" s="114"/>
    </row>
    <row r="66" spans="1:14" ht="45" x14ac:dyDescent="0.25">
      <c r="A66" s="111"/>
      <c r="B66" s="111"/>
      <c r="C66" s="111" t="s">
        <v>874</v>
      </c>
      <c r="D66" s="111"/>
      <c r="E66" s="111"/>
      <c r="F66" s="111"/>
      <c r="G66" s="112">
        <v>4</v>
      </c>
      <c r="H66" s="112" t="s">
        <v>1932</v>
      </c>
      <c r="I66" s="113" t="s">
        <v>1703</v>
      </c>
      <c r="J66" s="216" t="s">
        <v>721</v>
      </c>
      <c r="K66" s="112"/>
      <c r="L66" s="112"/>
      <c r="M66" s="114"/>
    </row>
    <row r="67" spans="1:14" ht="75" x14ac:dyDescent="0.25">
      <c r="A67" s="115"/>
      <c r="B67" s="115" t="s">
        <v>874</v>
      </c>
      <c r="C67" s="115"/>
      <c r="D67" s="115"/>
      <c r="E67" s="115"/>
      <c r="F67" s="115" t="s">
        <v>874</v>
      </c>
      <c r="G67" s="114">
        <v>4</v>
      </c>
      <c r="H67" s="114" t="s">
        <v>1603</v>
      </c>
      <c r="I67" s="114" t="s">
        <v>346</v>
      </c>
      <c r="J67" s="116" t="s">
        <v>347</v>
      </c>
      <c r="K67" s="114" t="s">
        <v>1604</v>
      </c>
      <c r="L67" s="114"/>
      <c r="M67" s="114"/>
    </row>
    <row r="68" spans="1:14" ht="60" x14ac:dyDescent="0.25">
      <c r="A68" s="111" t="s">
        <v>874</v>
      </c>
      <c r="B68" s="111" t="s">
        <v>874</v>
      </c>
      <c r="C68" s="111"/>
      <c r="D68" s="111"/>
      <c r="E68" s="111"/>
      <c r="F68" s="111"/>
      <c r="G68" s="112">
        <v>4</v>
      </c>
      <c r="H68" s="112" t="s">
        <v>1933</v>
      </c>
      <c r="I68" s="116" t="s">
        <v>1704</v>
      </c>
      <c r="J68" s="216" t="s">
        <v>1705</v>
      </c>
      <c r="K68" s="112"/>
      <c r="L68" s="112"/>
      <c r="M68" s="114"/>
      <c r="N68" s="214" t="s">
        <v>874</v>
      </c>
    </row>
    <row r="69" spans="1:14" ht="75" x14ac:dyDescent="0.25">
      <c r="A69" s="111"/>
      <c r="B69" s="111"/>
      <c r="C69" s="111"/>
      <c r="D69" s="111" t="s">
        <v>874</v>
      </c>
      <c r="E69" s="111"/>
      <c r="F69" s="111" t="s">
        <v>874</v>
      </c>
      <c r="G69" s="112">
        <v>4</v>
      </c>
      <c r="H69" s="112" t="s">
        <v>1934</v>
      </c>
      <c r="I69" s="116" t="s">
        <v>1706</v>
      </c>
      <c r="J69" s="216" t="s">
        <v>1707</v>
      </c>
      <c r="K69" s="112"/>
      <c r="L69" s="112"/>
      <c r="M69" s="114"/>
    </row>
    <row r="70" spans="1:14" ht="75" x14ac:dyDescent="0.25">
      <c r="A70" s="111"/>
      <c r="B70" s="111"/>
      <c r="C70" s="111" t="s">
        <v>874</v>
      </c>
      <c r="D70" s="111"/>
      <c r="E70" s="111"/>
      <c r="F70" s="111"/>
      <c r="G70" s="112">
        <v>4</v>
      </c>
      <c r="H70" s="112" t="s">
        <v>1935</v>
      </c>
      <c r="I70" s="113" t="s">
        <v>1708</v>
      </c>
      <c r="J70" s="216" t="s">
        <v>1512</v>
      </c>
      <c r="K70" s="112"/>
      <c r="L70" s="112"/>
      <c r="M70" s="114"/>
    </row>
    <row r="71" spans="1:14" ht="105" x14ac:dyDescent="0.25">
      <c r="A71" s="111" t="s">
        <v>874</v>
      </c>
      <c r="B71" s="111" t="s">
        <v>874</v>
      </c>
      <c r="C71" s="111"/>
      <c r="D71" s="111"/>
      <c r="E71" s="111"/>
      <c r="F71" s="111" t="s">
        <v>874</v>
      </c>
      <c r="G71" s="112">
        <v>4</v>
      </c>
      <c r="H71" s="112" t="s">
        <v>1936</v>
      </c>
      <c r="I71" s="116" t="s">
        <v>1513</v>
      </c>
      <c r="J71" s="217" t="s">
        <v>1514</v>
      </c>
      <c r="K71" s="112"/>
      <c r="L71" s="112"/>
      <c r="M71" s="114"/>
    </row>
    <row r="72" spans="1:14" ht="45" x14ac:dyDescent="0.25">
      <c r="A72" s="111" t="s">
        <v>874</v>
      </c>
      <c r="B72" s="111" t="s">
        <v>874</v>
      </c>
      <c r="C72" s="111"/>
      <c r="D72" s="111"/>
      <c r="E72" s="111"/>
      <c r="F72" s="111" t="s">
        <v>874</v>
      </c>
      <c r="G72" s="112">
        <v>4</v>
      </c>
      <c r="H72" s="112" t="s">
        <v>1937</v>
      </c>
      <c r="I72" s="113" t="s">
        <v>1515</v>
      </c>
      <c r="J72" s="216" t="s">
        <v>1516</v>
      </c>
      <c r="K72" s="112"/>
      <c r="L72" s="112"/>
      <c r="M72" s="114"/>
    </row>
    <row r="73" spans="1:14" ht="120" x14ac:dyDescent="0.25">
      <c r="A73" s="111" t="s">
        <v>874</v>
      </c>
      <c r="B73" s="111" t="s">
        <v>874</v>
      </c>
      <c r="C73" s="111"/>
      <c r="D73" s="111"/>
      <c r="E73" s="111"/>
      <c r="F73" s="111"/>
      <c r="G73" s="112">
        <v>4</v>
      </c>
      <c r="H73" s="112" t="s">
        <v>1938</v>
      </c>
      <c r="I73" s="116" t="s">
        <v>481</v>
      </c>
      <c r="J73" s="216" t="s">
        <v>2021</v>
      </c>
      <c r="K73" s="112"/>
      <c r="L73" s="112"/>
      <c r="M73" s="114"/>
      <c r="N73" s="214" t="s">
        <v>874</v>
      </c>
    </row>
    <row r="74" spans="1:14" ht="108" customHeight="1" x14ac:dyDescent="0.25">
      <c r="A74" s="111" t="s">
        <v>874</v>
      </c>
      <c r="B74" s="111" t="s">
        <v>874</v>
      </c>
      <c r="C74" s="111"/>
      <c r="D74" s="111"/>
      <c r="E74" s="111"/>
      <c r="F74" s="111"/>
      <c r="G74" s="112">
        <v>4</v>
      </c>
      <c r="H74" s="112" t="s">
        <v>1939</v>
      </c>
      <c r="I74" s="116" t="s">
        <v>1725</v>
      </c>
      <c r="J74" s="216" t="s">
        <v>861</v>
      </c>
      <c r="K74" s="112"/>
      <c r="L74" s="112"/>
      <c r="M74" s="114"/>
    </row>
    <row r="75" spans="1:14" ht="105" x14ac:dyDescent="0.25">
      <c r="A75" s="111" t="s">
        <v>874</v>
      </c>
      <c r="B75" s="111" t="s">
        <v>874</v>
      </c>
      <c r="C75" s="111"/>
      <c r="D75" s="111"/>
      <c r="E75" s="111"/>
      <c r="F75" s="111"/>
      <c r="G75" s="112">
        <v>4</v>
      </c>
      <c r="H75" s="112" t="s">
        <v>1940</v>
      </c>
      <c r="I75" s="116" t="s">
        <v>1724</v>
      </c>
      <c r="J75" s="216" t="s">
        <v>2022</v>
      </c>
      <c r="K75" s="112"/>
      <c r="L75" s="112"/>
      <c r="M75" s="114"/>
    </row>
    <row r="76" spans="1:14" ht="45" x14ac:dyDescent="0.25">
      <c r="A76" s="111"/>
      <c r="B76" s="111"/>
      <c r="C76" s="111" t="s">
        <v>874</v>
      </c>
      <c r="D76" s="111" t="s">
        <v>874</v>
      </c>
      <c r="E76" s="111"/>
      <c r="F76" s="111"/>
      <c r="G76" s="112">
        <v>4</v>
      </c>
      <c r="H76" s="112" t="s">
        <v>865</v>
      </c>
      <c r="I76" s="113" t="s">
        <v>1726</v>
      </c>
      <c r="J76" s="216" t="s">
        <v>1553</v>
      </c>
      <c r="K76" s="112" t="s">
        <v>56</v>
      </c>
      <c r="L76" s="112"/>
      <c r="M76" s="114"/>
    </row>
    <row r="77" spans="1:14" ht="60" x14ac:dyDescent="0.25">
      <c r="A77" s="111"/>
      <c r="B77" s="111" t="s">
        <v>874</v>
      </c>
      <c r="C77" s="111"/>
      <c r="D77" s="111"/>
      <c r="E77" s="111"/>
      <c r="F77" s="111" t="s">
        <v>874</v>
      </c>
      <c r="G77" s="112">
        <v>4</v>
      </c>
      <c r="H77" s="112" t="s">
        <v>1941</v>
      </c>
      <c r="I77" s="113" t="s">
        <v>1554</v>
      </c>
      <c r="J77" s="216" t="s">
        <v>1555</v>
      </c>
      <c r="K77" s="112"/>
      <c r="L77" s="112"/>
      <c r="M77" s="114"/>
    </row>
    <row r="78" spans="1:14" ht="45" x14ac:dyDescent="0.25">
      <c r="A78" s="111"/>
      <c r="B78" s="111"/>
      <c r="C78" s="111"/>
      <c r="D78" s="111" t="s">
        <v>874</v>
      </c>
      <c r="E78" s="111"/>
      <c r="F78" s="111"/>
      <c r="G78" s="112">
        <v>4</v>
      </c>
      <c r="H78" s="112" t="s">
        <v>1942</v>
      </c>
      <c r="I78" s="114" t="s">
        <v>1556</v>
      </c>
      <c r="J78" s="113" t="s">
        <v>253</v>
      </c>
      <c r="K78" s="112"/>
      <c r="L78" s="112"/>
      <c r="M78" s="114"/>
    </row>
    <row r="79" spans="1:14" ht="75" x14ac:dyDescent="0.25">
      <c r="A79" s="115" t="s">
        <v>874</v>
      </c>
      <c r="B79" s="115" t="s">
        <v>874</v>
      </c>
      <c r="C79" s="115"/>
      <c r="D79" s="115"/>
      <c r="E79" s="115"/>
      <c r="F79" s="115" t="s">
        <v>874</v>
      </c>
      <c r="G79" s="114">
        <v>4</v>
      </c>
      <c r="H79" s="114" t="s">
        <v>1605</v>
      </c>
      <c r="I79" s="114" t="s">
        <v>348</v>
      </c>
      <c r="J79" s="116" t="s">
        <v>1607</v>
      </c>
      <c r="K79" s="114" t="s">
        <v>1606</v>
      </c>
      <c r="L79" s="114"/>
      <c r="M79" s="114"/>
    </row>
    <row r="80" spans="1:14" ht="105" x14ac:dyDescent="0.25">
      <c r="A80" s="115" t="s">
        <v>874</v>
      </c>
      <c r="B80" s="115" t="s">
        <v>874</v>
      </c>
      <c r="C80" s="115"/>
      <c r="D80" s="115"/>
      <c r="E80" s="115"/>
      <c r="F80" s="115"/>
      <c r="G80" s="114">
        <v>4</v>
      </c>
      <c r="H80" s="114" t="s">
        <v>1608</v>
      </c>
      <c r="I80" s="116" t="s">
        <v>254</v>
      </c>
      <c r="J80" s="216" t="s">
        <v>1557</v>
      </c>
      <c r="K80" s="114"/>
      <c r="L80" s="114"/>
      <c r="M80" s="114"/>
    </row>
    <row r="81" spans="1:14" ht="75" x14ac:dyDescent="0.25">
      <c r="A81" s="111"/>
      <c r="B81" s="111"/>
      <c r="C81" s="111"/>
      <c r="D81" s="111" t="s">
        <v>874</v>
      </c>
      <c r="E81" s="111" t="s">
        <v>874</v>
      </c>
      <c r="F81" s="111"/>
      <c r="G81" s="112">
        <v>4</v>
      </c>
      <c r="H81" s="112" t="s">
        <v>1943</v>
      </c>
      <c r="I81" s="116" t="s">
        <v>1558</v>
      </c>
      <c r="J81" s="216" t="s">
        <v>1559</v>
      </c>
      <c r="K81" s="112"/>
      <c r="L81" s="112"/>
      <c r="M81" s="114"/>
    </row>
    <row r="82" spans="1:14" ht="30" x14ac:dyDescent="0.25">
      <c r="A82" s="111"/>
      <c r="B82" s="111" t="s">
        <v>874</v>
      </c>
      <c r="C82" s="111"/>
      <c r="D82" s="111"/>
      <c r="E82" s="111"/>
      <c r="F82" s="111" t="s">
        <v>874</v>
      </c>
      <c r="G82" s="112" t="s">
        <v>57</v>
      </c>
      <c r="H82" s="112" t="s">
        <v>1944</v>
      </c>
      <c r="I82" s="114" t="s">
        <v>1560</v>
      </c>
      <c r="J82" s="113" t="s">
        <v>1947</v>
      </c>
      <c r="K82" s="112"/>
      <c r="L82" s="112"/>
      <c r="M82" s="114"/>
    </row>
    <row r="83" spans="1:14" ht="30" x14ac:dyDescent="0.25">
      <c r="A83" s="111"/>
      <c r="B83" s="111" t="s">
        <v>874</v>
      </c>
      <c r="C83" s="111"/>
      <c r="D83" s="111"/>
      <c r="E83" s="111"/>
      <c r="F83" s="111" t="s">
        <v>874</v>
      </c>
      <c r="G83" s="112" t="s">
        <v>57</v>
      </c>
      <c r="H83" s="112" t="s">
        <v>1945</v>
      </c>
      <c r="I83" s="114" t="s">
        <v>1101</v>
      </c>
      <c r="J83" s="113" t="s">
        <v>1948</v>
      </c>
      <c r="K83" s="112"/>
      <c r="L83" s="112"/>
      <c r="M83" s="114"/>
    </row>
    <row r="84" spans="1:14" ht="120" x14ac:dyDescent="0.25">
      <c r="A84" s="111"/>
      <c r="B84" s="111"/>
      <c r="C84" s="111"/>
      <c r="D84" s="111" t="s">
        <v>874</v>
      </c>
      <c r="E84" s="111"/>
      <c r="F84" s="111"/>
      <c r="G84" s="112" t="s">
        <v>57</v>
      </c>
      <c r="H84" s="112" t="s">
        <v>1946</v>
      </c>
      <c r="I84" s="114" t="s">
        <v>1102</v>
      </c>
      <c r="J84" s="116" t="s">
        <v>1587</v>
      </c>
      <c r="K84" s="112"/>
      <c r="L84" s="112"/>
      <c r="M84" s="114"/>
      <c r="N84" s="214" t="s">
        <v>874</v>
      </c>
    </row>
    <row r="85" spans="1:14" ht="60" x14ac:dyDescent="0.25">
      <c r="A85" s="111" t="s">
        <v>874</v>
      </c>
      <c r="B85" s="111" t="s">
        <v>874</v>
      </c>
      <c r="C85" s="111"/>
      <c r="D85" s="111"/>
      <c r="E85" s="111"/>
      <c r="F85" s="111" t="s">
        <v>874</v>
      </c>
      <c r="G85" s="112" t="s">
        <v>57</v>
      </c>
      <c r="H85" s="112" t="s">
        <v>768</v>
      </c>
      <c r="I85" s="116" t="s">
        <v>1103</v>
      </c>
      <c r="J85" s="216" t="s">
        <v>2023</v>
      </c>
      <c r="K85" s="230" t="s">
        <v>1848</v>
      </c>
      <c r="L85" s="112"/>
      <c r="M85" s="216" t="s">
        <v>887</v>
      </c>
    </row>
    <row r="86" spans="1:14" ht="135" x14ac:dyDescent="0.25">
      <c r="A86" s="115"/>
      <c r="B86" s="115"/>
      <c r="C86" s="115" t="s">
        <v>874</v>
      </c>
      <c r="D86" s="115" t="s">
        <v>874</v>
      </c>
      <c r="E86" s="115" t="s">
        <v>874</v>
      </c>
      <c r="F86" s="115"/>
      <c r="G86" s="112" t="s">
        <v>57</v>
      </c>
      <c r="H86" s="114" t="s">
        <v>1609</v>
      </c>
      <c r="I86" s="114" t="s">
        <v>1610</v>
      </c>
      <c r="J86" s="116" t="s">
        <v>2024</v>
      </c>
      <c r="K86" s="114"/>
      <c r="L86" s="114"/>
      <c r="M86" s="216" t="s">
        <v>887</v>
      </c>
    </row>
    <row r="87" spans="1:14" ht="105" x14ac:dyDescent="0.25">
      <c r="A87" s="111" t="s">
        <v>874</v>
      </c>
      <c r="B87" s="111" t="s">
        <v>874</v>
      </c>
      <c r="C87" s="111"/>
      <c r="D87" s="111"/>
      <c r="E87" s="111"/>
      <c r="F87" s="111" t="s">
        <v>874</v>
      </c>
      <c r="G87" s="112" t="s">
        <v>57</v>
      </c>
      <c r="H87" s="112" t="s">
        <v>607</v>
      </c>
      <c r="I87" s="116" t="s">
        <v>255</v>
      </c>
      <c r="J87" s="217" t="s">
        <v>1588</v>
      </c>
      <c r="K87" s="112" t="s">
        <v>606</v>
      </c>
      <c r="L87" s="112"/>
      <c r="M87" s="114"/>
    </row>
    <row r="88" spans="1:14" ht="75" x14ac:dyDescent="0.25">
      <c r="A88" s="111" t="s">
        <v>874</v>
      </c>
      <c r="B88" s="111" t="s">
        <v>874</v>
      </c>
      <c r="C88" s="111"/>
      <c r="D88" s="111"/>
      <c r="E88" s="111"/>
      <c r="F88" s="111"/>
      <c r="G88" s="112" t="s">
        <v>57</v>
      </c>
      <c r="H88" s="112" t="s">
        <v>900</v>
      </c>
      <c r="I88" s="113" t="s">
        <v>1104</v>
      </c>
      <c r="J88" s="216" t="s">
        <v>828</v>
      </c>
      <c r="K88" s="112"/>
      <c r="L88" s="112"/>
      <c r="M88" s="114"/>
    </row>
    <row r="89" spans="1:14" ht="150" x14ac:dyDescent="0.25">
      <c r="A89" s="115" t="s">
        <v>874</v>
      </c>
      <c r="B89" s="115" t="s">
        <v>874</v>
      </c>
      <c r="C89" s="115"/>
      <c r="D89" s="115"/>
      <c r="E89" s="115"/>
      <c r="F89" s="115" t="s">
        <v>874</v>
      </c>
      <c r="G89" s="112" t="s">
        <v>57</v>
      </c>
      <c r="H89" s="114" t="s">
        <v>1688</v>
      </c>
      <c r="I89" s="114" t="s">
        <v>166</v>
      </c>
      <c r="J89" s="113" t="s">
        <v>1214</v>
      </c>
      <c r="K89" s="114" t="s">
        <v>167</v>
      </c>
      <c r="L89" s="114" t="s">
        <v>165</v>
      </c>
      <c r="M89" s="114"/>
    </row>
    <row r="90" spans="1:14" ht="60" x14ac:dyDescent="0.25">
      <c r="A90" s="115" t="s">
        <v>874</v>
      </c>
      <c r="B90" s="115" t="s">
        <v>874</v>
      </c>
      <c r="C90" s="115"/>
      <c r="D90" s="115"/>
      <c r="E90" s="115"/>
      <c r="F90" s="115" t="s">
        <v>874</v>
      </c>
      <c r="G90" s="112" t="s">
        <v>57</v>
      </c>
      <c r="H90" s="114" t="s">
        <v>1611</v>
      </c>
      <c r="I90" s="114" t="s">
        <v>349</v>
      </c>
      <c r="J90" s="113" t="s">
        <v>1612</v>
      </c>
      <c r="K90" s="114" t="s">
        <v>654</v>
      </c>
      <c r="L90" s="114"/>
      <c r="M90" s="114"/>
    </row>
    <row r="91" spans="1:14" ht="60" x14ac:dyDescent="0.25">
      <c r="A91" s="111"/>
      <c r="B91" s="111"/>
      <c r="C91" s="111"/>
      <c r="D91" s="111" t="s">
        <v>874</v>
      </c>
      <c r="E91" s="111" t="s">
        <v>874</v>
      </c>
      <c r="F91" s="111" t="s">
        <v>874</v>
      </c>
      <c r="G91" s="112" t="s">
        <v>57</v>
      </c>
      <c r="H91" s="112" t="s">
        <v>1446</v>
      </c>
      <c r="I91" s="113" t="s">
        <v>1105</v>
      </c>
      <c r="J91" s="216" t="s">
        <v>1106</v>
      </c>
      <c r="K91" s="112" t="s">
        <v>609</v>
      </c>
      <c r="L91" s="112"/>
      <c r="M91" s="114"/>
    </row>
    <row r="92" spans="1:14" ht="105" x14ac:dyDescent="0.25">
      <c r="A92" s="111"/>
      <c r="B92" s="111"/>
      <c r="C92" s="111" t="s">
        <v>874</v>
      </c>
      <c r="D92" s="111" t="s">
        <v>874</v>
      </c>
      <c r="E92" s="111" t="s">
        <v>874</v>
      </c>
      <c r="F92" s="111" t="s">
        <v>874</v>
      </c>
      <c r="G92" s="112" t="s">
        <v>57</v>
      </c>
      <c r="H92" s="112" t="s">
        <v>901</v>
      </c>
      <c r="I92" s="116" t="s">
        <v>1107</v>
      </c>
      <c r="J92" s="216" t="s">
        <v>2025</v>
      </c>
      <c r="K92" s="112"/>
      <c r="L92" s="112"/>
      <c r="M92" s="114"/>
    </row>
    <row r="93" spans="1:14" ht="86.25" customHeight="1" x14ac:dyDescent="0.25">
      <c r="A93" s="111"/>
      <c r="B93" s="111"/>
      <c r="C93" s="111"/>
      <c r="D93" s="111" t="s">
        <v>874</v>
      </c>
      <c r="E93" s="111"/>
      <c r="F93" s="111" t="s">
        <v>874</v>
      </c>
      <c r="G93" s="112" t="s">
        <v>57</v>
      </c>
      <c r="H93" s="112" t="s">
        <v>902</v>
      </c>
      <c r="I93" s="116" t="s">
        <v>1108</v>
      </c>
      <c r="J93" s="216" t="s">
        <v>1109</v>
      </c>
      <c r="K93" s="112"/>
      <c r="L93" s="112"/>
      <c r="M93" s="216" t="s">
        <v>887</v>
      </c>
    </row>
    <row r="94" spans="1:14" ht="90" x14ac:dyDescent="0.25">
      <c r="A94" s="111" t="s">
        <v>874</v>
      </c>
      <c r="B94" s="111" t="s">
        <v>874</v>
      </c>
      <c r="C94" s="111"/>
      <c r="D94" s="111"/>
      <c r="E94" s="111"/>
      <c r="F94" s="111" t="s">
        <v>874</v>
      </c>
      <c r="G94" s="112" t="s">
        <v>57</v>
      </c>
      <c r="H94" s="112" t="s">
        <v>599</v>
      </c>
      <c r="I94" s="116" t="s">
        <v>1110</v>
      </c>
      <c r="J94" s="217" t="s">
        <v>1249</v>
      </c>
      <c r="K94" s="112" t="s">
        <v>598</v>
      </c>
      <c r="L94" s="112"/>
      <c r="M94" s="114"/>
      <c r="N94" s="214" t="s">
        <v>874</v>
      </c>
    </row>
    <row r="95" spans="1:14" ht="60" x14ac:dyDescent="0.25">
      <c r="A95" s="111" t="s">
        <v>874</v>
      </c>
      <c r="B95" s="111" t="s">
        <v>874</v>
      </c>
      <c r="C95" s="111"/>
      <c r="D95" s="111"/>
      <c r="E95" s="111"/>
      <c r="F95" s="111" t="s">
        <v>874</v>
      </c>
      <c r="G95" s="112" t="s">
        <v>57</v>
      </c>
      <c r="H95" s="112" t="s">
        <v>413</v>
      </c>
      <c r="I95" s="116" t="s">
        <v>192</v>
      </c>
      <c r="J95" s="216" t="s">
        <v>191</v>
      </c>
      <c r="K95" s="112"/>
      <c r="L95" s="112"/>
      <c r="M95" s="114"/>
      <c r="N95" s="214" t="s">
        <v>874</v>
      </c>
    </row>
    <row r="96" spans="1:14" ht="75" x14ac:dyDescent="0.25">
      <c r="A96" s="115"/>
      <c r="B96" s="115"/>
      <c r="C96" s="115" t="s">
        <v>874</v>
      </c>
      <c r="D96" s="115"/>
      <c r="E96" s="115"/>
      <c r="F96" s="115" t="s">
        <v>874</v>
      </c>
      <c r="G96" s="112" t="s">
        <v>57</v>
      </c>
      <c r="H96" s="114" t="s">
        <v>1873</v>
      </c>
      <c r="I96" s="114" t="s">
        <v>1874</v>
      </c>
      <c r="J96" s="113" t="s">
        <v>174</v>
      </c>
      <c r="K96" s="114" t="s">
        <v>1872</v>
      </c>
      <c r="L96" s="114"/>
      <c r="M96" s="114"/>
    </row>
    <row r="97" spans="1:14" ht="60" x14ac:dyDescent="0.25">
      <c r="A97" s="111" t="s">
        <v>874</v>
      </c>
      <c r="B97" s="111" t="s">
        <v>874</v>
      </c>
      <c r="C97" s="111"/>
      <c r="D97" s="111"/>
      <c r="E97" s="111"/>
      <c r="F97" s="111" t="s">
        <v>874</v>
      </c>
      <c r="G97" s="112" t="s">
        <v>57</v>
      </c>
      <c r="H97" s="112" t="s">
        <v>903</v>
      </c>
      <c r="I97" s="116" t="s">
        <v>1590</v>
      </c>
      <c r="J97" s="216" t="s">
        <v>1325</v>
      </c>
      <c r="K97" s="112" t="s">
        <v>904</v>
      </c>
      <c r="L97" s="112"/>
      <c r="M97" s="114"/>
    </row>
    <row r="98" spans="1:14" ht="45" x14ac:dyDescent="0.25">
      <c r="A98" s="111"/>
      <c r="B98" s="111"/>
      <c r="C98" s="111"/>
      <c r="D98" s="111" t="s">
        <v>874</v>
      </c>
      <c r="E98" s="111" t="s">
        <v>874</v>
      </c>
      <c r="F98" s="111" t="s">
        <v>874</v>
      </c>
      <c r="G98" s="112" t="s">
        <v>57</v>
      </c>
      <c r="H98" s="112" t="s">
        <v>615</v>
      </c>
      <c r="I98" s="113" t="s">
        <v>1326</v>
      </c>
      <c r="J98" s="216" t="s">
        <v>1916</v>
      </c>
      <c r="K98" s="230" t="s">
        <v>2026</v>
      </c>
      <c r="L98" s="112"/>
      <c r="M98" s="216" t="s">
        <v>887</v>
      </c>
    </row>
    <row r="99" spans="1:14" ht="60" x14ac:dyDescent="0.25">
      <c r="A99" s="111"/>
      <c r="B99" s="111"/>
      <c r="C99" s="111" t="s">
        <v>874</v>
      </c>
      <c r="D99" s="111" t="s">
        <v>874</v>
      </c>
      <c r="E99" s="111"/>
      <c r="F99" s="111" t="s">
        <v>874</v>
      </c>
      <c r="G99" s="112" t="s">
        <v>57</v>
      </c>
      <c r="H99" s="112" t="s">
        <v>905</v>
      </c>
      <c r="I99" s="113" t="s">
        <v>1917</v>
      </c>
      <c r="J99" s="216" t="s">
        <v>323</v>
      </c>
      <c r="K99" s="112"/>
      <c r="L99" s="112"/>
      <c r="M99" s="114"/>
    </row>
    <row r="100" spans="1:14" ht="45" x14ac:dyDescent="0.25">
      <c r="A100" s="111" t="s">
        <v>874</v>
      </c>
      <c r="B100" s="111" t="s">
        <v>874</v>
      </c>
      <c r="C100" s="111"/>
      <c r="D100" s="111"/>
      <c r="E100" s="111"/>
      <c r="F100" s="111" t="s">
        <v>874</v>
      </c>
      <c r="G100" s="112" t="s">
        <v>57</v>
      </c>
      <c r="H100" s="112" t="s">
        <v>648</v>
      </c>
      <c r="I100" s="113" t="s">
        <v>970</v>
      </c>
      <c r="J100" s="216" t="s">
        <v>971</v>
      </c>
      <c r="K100" s="112" t="s">
        <v>647</v>
      </c>
      <c r="L100" s="112"/>
      <c r="M100" s="114"/>
    </row>
    <row r="101" spans="1:14" ht="45" x14ac:dyDescent="0.25">
      <c r="A101" s="115" t="s">
        <v>874</v>
      </c>
      <c r="B101" s="115" t="s">
        <v>874</v>
      </c>
      <c r="C101" s="115"/>
      <c r="D101" s="115"/>
      <c r="E101" s="115"/>
      <c r="F101" s="115" t="s">
        <v>874</v>
      </c>
      <c r="G101" s="112" t="s">
        <v>57</v>
      </c>
      <c r="H101" s="114" t="s">
        <v>1613</v>
      </c>
      <c r="I101" s="114" t="s">
        <v>1322</v>
      </c>
      <c r="J101" s="113" t="s">
        <v>350</v>
      </c>
      <c r="K101" s="114"/>
      <c r="L101" s="114"/>
      <c r="M101" s="114"/>
    </row>
    <row r="102" spans="1:14" ht="105" x14ac:dyDescent="0.25">
      <c r="A102" s="115" t="s">
        <v>874</v>
      </c>
      <c r="B102" s="115" t="s">
        <v>874</v>
      </c>
      <c r="C102" s="115"/>
      <c r="D102" s="115"/>
      <c r="E102" s="115"/>
      <c r="F102" s="115" t="s">
        <v>874</v>
      </c>
      <c r="G102" s="112" t="s">
        <v>57</v>
      </c>
      <c r="H102" s="114" t="s">
        <v>1669</v>
      </c>
      <c r="I102" s="114" t="s">
        <v>324</v>
      </c>
      <c r="J102" s="116" t="s">
        <v>2027</v>
      </c>
      <c r="K102" s="114"/>
      <c r="L102" s="114"/>
      <c r="M102" s="114"/>
      <c r="N102" s="214" t="s">
        <v>874</v>
      </c>
    </row>
    <row r="103" spans="1:14" ht="60" x14ac:dyDescent="0.25">
      <c r="A103" s="111"/>
      <c r="B103" s="111" t="s">
        <v>874</v>
      </c>
      <c r="C103" s="111"/>
      <c r="D103" s="111"/>
      <c r="E103" s="111"/>
      <c r="F103" s="111" t="s">
        <v>874</v>
      </c>
      <c r="G103" s="112" t="s">
        <v>57</v>
      </c>
      <c r="H103" s="112" t="s">
        <v>906</v>
      </c>
      <c r="I103" s="113" t="s">
        <v>1323</v>
      </c>
      <c r="J103" s="216" t="s">
        <v>1614</v>
      </c>
      <c r="K103" s="112"/>
      <c r="L103" s="112"/>
      <c r="M103" s="114"/>
    </row>
    <row r="104" spans="1:14" ht="45" x14ac:dyDescent="0.25">
      <c r="A104" s="111" t="s">
        <v>874</v>
      </c>
      <c r="B104" s="111" t="s">
        <v>874</v>
      </c>
      <c r="C104" s="111"/>
      <c r="D104" s="111"/>
      <c r="E104" s="111"/>
      <c r="F104" s="111" t="s">
        <v>874</v>
      </c>
      <c r="G104" s="112" t="s">
        <v>57</v>
      </c>
      <c r="H104" s="112" t="s">
        <v>627</v>
      </c>
      <c r="I104" s="113" t="s">
        <v>1324</v>
      </c>
      <c r="J104" s="216" t="s">
        <v>2039</v>
      </c>
      <c r="K104" s="112" t="s">
        <v>626</v>
      </c>
      <c r="L104" s="112"/>
      <c r="M104" s="114"/>
    </row>
    <row r="105" spans="1:14" ht="45" x14ac:dyDescent="0.25">
      <c r="A105" s="111" t="s">
        <v>874</v>
      </c>
      <c r="B105" s="111" t="s">
        <v>874</v>
      </c>
      <c r="C105" s="111"/>
      <c r="D105" s="111"/>
      <c r="E105" s="111"/>
      <c r="F105" s="111" t="s">
        <v>874</v>
      </c>
      <c r="G105" s="112" t="s">
        <v>57</v>
      </c>
      <c r="H105" s="112" t="s">
        <v>629</v>
      </c>
      <c r="I105" s="113" t="s">
        <v>1615</v>
      </c>
      <c r="J105" s="216" t="s">
        <v>1616</v>
      </c>
      <c r="K105" s="112" t="s">
        <v>628</v>
      </c>
      <c r="L105" s="112"/>
      <c r="M105" s="114"/>
    </row>
    <row r="106" spans="1:14" ht="120" x14ac:dyDescent="0.25">
      <c r="A106" s="111" t="s">
        <v>874</v>
      </c>
      <c r="B106" s="111" t="s">
        <v>874</v>
      </c>
      <c r="C106" s="111"/>
      <c r="D106" s="111"/>
      <c r="E106" s="111"/>
      <c r="F106" s="111" t="s">
        <v>874</v>
      </c>
      <c r="G106" s="112" t="s">
        <v>57</v>
      </c>
      <c r="H106" s="112" t="s">
        <v>1864</v>
      </c>
      <c r="I106" s="114" t="s">
        <v>1888</v>
      </c>
      <c r="J106" s="116" t="s">
        <v>2028</v>
      </c>
      <c r="K106" s="112"/>
      <c r="L106" s="112"/>
      <c r="M106" s="114"/>
      <c r="N106" s="214" t="s">
        <v>874</v>
      </c>
    </row>
    <row r="107" spans="1:14" ht="75" x14ac:dyDescent="0.25">
      <c r="A107" s="111" t="s">
        <v>874</v>
      </c>
      <c r="B107" s="111" t="s">
        <v>874</v>
      </c>
      <c r="C107" s="111"/>
      <c r="D107" s="111"/>
      <c r="E107" s="111"/>
      <c r="F107" s="111" t="s">
        <v>874</v>
      </c>
      <c r="G107" s="112" t="s">
        <v>57</v>
      </c>
      <c r="H107" s="112" t="s">
        <v>1865</v>
      </c>
      <c r="I107" s="116" t="s">
        <v>1367</v>
      </c>
      <c r="J107" s="216" t="s">
        <v>1368</v>
      </c>
      <c r="K107" s="112"/>
      <c r="L107" s="112"/>
      <c r="M107" s="114"/>
      <c r="N107" s="214" t="s">
        <v>874</v>
      </c>
    </row>
    <row r="108" spans="1:14" ht="165" customHeight="1" x14ac:dyDescent="0.25">
      <c r="A108" s="115" t="s">
        <v>874</v>
      </c>
      <c r="B108" s="115" t="s">
        <v>874</v>
      </c>
      <c r="C108" s="115"/>
      <c r="D108" s="115"/>
      <c r="E108" s="115"/>
      <c r="F108" s="115" t="s">
        <v>874</v>
      </c>
      <c r="G108" s="112" t="s">
        <v>57</v>
      </c>
      <c r="H108" s="114" t="s">
        <v>1673</v>
      </c>
      <c r="I108" s="116" t="s">
        <v>1674</v>
      </c>
      <c r="J108" s="217" t="s">
        <v>480</v>
      </c>
      <c r="K108" s="114"/>
      <c r="L108" s="114"/>
      <c r="M108" s="114"/>
      <c r="N108" s="214" t="s">
        <v>874</v>
      </c>
    </row>
    <row r="109" spans="1:14" ht="90" x14ac:dyDescent="0.25">
      <c r="A109" s="111" t="s">
        <v>874</v>
      </c>
      <c r="B109" s="111" t="s">
        <v>874</v>
      </c>
      <c r="C109" s="111"/>
      <c r="D109" s="111"/>
      <c r="E109" s="111"/>
      <c r="F109" s="111" t="s">
        <v>874</v>
      </c>
      <c r="G109" s="112" t="s">
        <v>57</v>
      </c>
      <c r="H109" s="112" t="s">
        <v>1866</v>
      </c>
      <c r="I109" s="116" t="s">
        <v>1890</v>
      </c>
      <c r="J109" s="217" t="s">
        <v>1889</v>
      </c>
      <c r="K109" s="112"/>
      <c r="L109" s="112"/>
      <c r="M109" s="114"/>
      <c r="N109" s="214" t="s">
        <v>874</v>
      </c>
    </row>
    <row r="110" spans="1:14" ht="120" x14ac:dyDescent="0.25">
      <c r="A110" s="111" t="s">
        <v>874</v>
      </c>
      <c r="B110" s="111" t="s">
        <v>874</v>
      </c>
      <c r="C110" s="111"/>
      <c r="D110" s="111"/>
      <c r="E110" s="111"/>
      <c r="F110" s="111" t="s">
        <v>874</v>
      </c>
      <c r="G110" s="112" t="s">
        <v>57</v>
      </c>
      <c r="H110" s="112" t="s">
        <v>1867</v>
      </c>
      <c r="I110" s="116" t="s">
        <v>1891</v>
      </c>
      <c r="J110" s="217" t="s">
        <v>1369</v>
      </c>
      <c r="K110" s="112"/>
      <c r="L110" s="112"/>
      <c r="M110" s="114"/>
      <c r="N110" s="214" t="s">
        <v>874</v>
      </c>
    </row>
    <row r="111" spans="1:14" ht="60" x14ac:dyDescent="0.25">
      <c r="A111" s="111" t="s">
        <v>874</v>
      </c>
      <c r="B111" s="111" t="s">
        <v>874</v>
      </c>
      <c r="C111" s="111"/>
      <c r="D111" s="111"/>
      <c r="E111" s="111"/>
      <c r="F111" s="111"/>
      <c r="G111" s="230" t="s">
        <v>57</v>
      </c>
      <c r="H111" s="112" t="s">
        <v>176</v>
      </c>
      <c r="I111" s="113" t="s">
        <v>1570</v>
      </c>
      <c r="J111" s="216" t="s">
        <v>2018</v>
      </c>
      <c r="K111" s="112"/>
      <c r="L111" s="112"/>
      <c r="M111" s="216" t="s">
        <v>887</v>
      </c>
    </row>
    <row r="112" spans="1:14" ht="60" x14ac:dyDescent="0.25">
      <c r="A112" s="111" t="s">
        <v>874</v>
      </c>
      <c r="B112" s="111" t="s">
        <v>874</v>
      </c>
      <c r="C112" s="111"/>
      <c r="D112" s="111"/>
      <c r="E112" s="111"/>
      <c r="F112" s="111" t="s">
        <v>874</v>
      </c>
      <c r="G112" s="112" t="s">
        <v>57</v>
      </c>
      <c r="H112" s="112" t="s">
        <v>1764</v>
      </c>
      <c r="I112" s="113" t="s">
        <v>1370</v>
      </c>
      <c r="J112" s="216" t="s">
        <v>1371</v>
      </c>
      <c r="K112" s="112" t="s">
        <v>1169</v>
      </c>
      <c r="L112" s="112"/>
      <c r="M112" s="114"/>
    </row>
    <row r="113" spans="1:14" ht="30" x14ac:dyDescent="0.25">
      <c r="A113" s="111" t="s">
        <v>874</v>
      </c>
      <c r="B113" s="111" t="s">
        <v>874</v>
      </c>
      <c r="C113" s="111"/>
      <c r="D113" s="111"/>
      <c r="E113" s="111"/>
      <c r="F113" s="111" t="s">
        <v>874</v>
      </c>
      <c r="G113" s="112" t="s">
        <v>57</v>
      </c>
      <c r="H113" s="112" t="s">
        <v>644</v>
      </c>
      <c r="I113" s="113" t="s">
        <v>985</v>
      </c>
      <c r="J113" s="216" t="s">
        <v>986</v>
      </c>
      <c r="K113" s="112" t="s">
        <v>642</v>
      </c>
      <c r="L113" s="112"/>
      <c r="M113" s="114"/>
    </row>
    <row r="114" spans="1:14" ht="45" x14ac:dyDescent="0.25">
      <c r="A114" s="111" t="s">
        <v>874</v>
      </c>
      <c r="B114" s="111" t="s">
        <v>874</v>
      </c>
      <c r="C114" s="111"/>
      <c r="D114" s="111"/>
      <c r="E114" s="111"/>
      <c r="F114" s="111"/>
      <c r="G114" s="112" t="s">
        <v>57</v>
      </c>
      <c r="H114" s="112" t="s">
        <v>601</v>
      </c>
      <c r="I114" s="113" t="s">
        <v>987</v>
      </c>
      <c r="J114" s="216" t="s">
        <v>988</v>
      </c>
      <c r="K114" s="112" t="s">
        <v>600</v>
      </c>
      <c r="L114" s="112"/>
      <c r="M114" s="114"/>
    </row>
    <row r="115" spans="1:14" ht="45" x14ac:dyDescent="0.25">
      <c r="A115" s="111" t="s">
        <v>874</v>
      </c>
      <c r="B115" s="111" t="s">
        <v>874</v>
      </c>
      <c r="C115" s="111"/>
      <c r="D115" s="111"/>
      <c r="E115" s="111"/>
      <c r="F115" s="111" t="s">
        <v>874</v>
      </c>
      <c r="G115" s="112" t="s">
        <v>57</v>
      </c>
      <c r="H115" s="112" t="s">
        <v>459</v>
      </c>
      <c r="I115" s="113" t="s">
        <v>989</v>
      </c>
      <c r="J115" s="216" t="s">
        <v>990</v>
      </c>
      <c r="K115" s="112" t="s">
        <v>655</v>
      </c>
      <c r="L115" s="112"/>
      <c r="M115" s="114"/>
    </row>
    <row r="116" spans="1:14" ht="45" x14ac:dyDescent="0.25">
      <c r="A116" s="111" t="s">
        <v>874</v>
      </c>
      <c r="B116" s="111" t="s">
        <v>874</v>
      </c>
      <c r="C116" s="111"/>
      <c r="D116" s="111"/>
      <c r="E116" s="111"/>
      <c r="F116" s="111" t="s">
        <v>874</v>
      </c>
      <c r="G116" s="112" t="s">
        <v>57</v>
      </c>
      <c r="H116" s="112" t="s">
        <v>460</v>
      </c>
      <c r="I116" s="113" t="s">
        <v>991</v>
      </c>
      <c r="J116" s="216" t="s">
        <v>992</v>
      </c>
      <c r="K116" s="112" t="s">
        <v>461</v>
      </c>
      <c r="L116" s="112"/>
      <c r="M116" s="114"/>
    </row>
    <row r="117" spans="1:14" ht="45" x14ac:dyDescent="0.25">
      <c r="A117" s="111" t="s">
        <v>874</v>
      </c>
      <c r="B117" s="111" t="s">
        <v>874</v>
      </c>
      <c r="C117" s="111"/>
      <c r="D117" s="111"/>
      <c r="E117" s="111"/>
      <c r="F117" s="111" t="s">
        <v>874</v>
      </c>
      <c r="G117" s="112" t="s">
        <v>57</v>
      </c>
      <c r="H117" s="112" t="s">
        <v>462</v>
      </c>
      <c r="I117" s="114" t="s">
        <v>1892</v>
      </c>
      <c r="J117" s="113" t="s">
        <v>463</v>
      </c>
      <c r="K117" s="112" t="s">
        <v>60</v>
      </c>
      <c r="L117" s="112"/>
      <c r="M117" s="114"/>
    </row>
    <row r="118" spans="1:14" ht="60" x14ac:dyDescent="0.25">
      <c r="A118" s="111" t="s">
        <v>874</v>
      </c>
      <c r="B118" s="111" t="s">
        <v>874</v>
      </c>
      <c r="C118" s="111"/>
      <c r="D118" s="111"/>
      <c r="E118" s="111"/>
      <c r="F118" s="111" t="s">
        <v>874</v>
      </c>
      <c r="G118" s="112" t="s">
        <v>57</v>
      </c>
      <c r="H118" s="112" t="s">
        <v>631</v>
      </c>
      <c r="I118" s="113" t="s">
        <v>993</v>
      </c>
      <c r="J118" s="216" t="s">
        <v>994</v>
      </c>
      <c r="K118" s="112" t="s">
        <v>464</v>
      </c>
      <c r="L118" s="112"/>
      <c r="M118" s="114"/>
    </row>
    <row r="119" spans="1:14" ht="90" x14ac:dyDescent="0.25">
      <c r="A119" s="111" t="s">
        <v>874</v>
      </c>
      <c r="B119" s="111" t="s">
        <v>874</v>
      </c>
      <c r="C119" s="111" t="s">
        <v>874</v>
      </c>
      <c r="D119" s="111" t="s">
        <v>874</v>
      </c>
      <c r="E119" s="111"/>
      <c r="F119" s="111" t="s">
        <v>874</v>
      </c>
      <c r="G119" s="112" t="s">
        <v>57</v>
      </c>
      <c r="H119" s="112" t="s">
        <v>465</v>
      </c>
      <c r="I119" s="116" t="s">
        <v>995</v>
      </c>
      <c r="J119" s="217" t="s">
        <v>2070</v>
      </c>
      <c r="K119" s="112"/>
      <c r="L119" s="112"/>
      <c r="M119" s="114"/>
      <c r="N119" s="214" t="s">
        <v>874</v>
      </c>
    </row>
    <row r="120" spans="1:14" ht="60" x14ac:dyDescent="0.25">
      <c r="A120" s="115" t="s">
        <v>874</v>
      </c>
      <c r="B120" s="115" t="s">
        <v>874</v>
      </c>
      <c r="C120" s="115"/>
      <c r="D120" s="115"/>
      <c r="E120" s="115"/>
      <c r="F120" s="115" t="s">
        <v>874</v>
      </c>
      <c r="G120" s="112" t="s">
        <v>57</v>
      </c>
      <c r="H120" s="114" t="s">
        <v>1600</v>
      </c>
      <c r="I120" s="114" t="s">
        <v>1602</v>
      </c>
      <c r="J120" s="113" t="s">
        <v>1845</v>
      </c>
      <c r="K120" s="114" t="s">
        <v>1601</v>
      </c>
      <c r="L120" s="114"/>
      <c r="M120" s="114"/>
    </row>
    <row r="121" spans="1:14" ht="45" x14ac:dyDescent="0.25">
      <c r="A121" s="111" t="s">
        <v>874</v>
      </c>
      <c r="B121" s="111" t="s">
        <v>874</v>
      </c>
      <c r="C121" s="111"/>
      <c r="D121" s="111"/>
      <c r="E121" s="111"/>
      <c r="F121" s="111" t="s">
        <v>874</v>
      </c>
      <c r="G121" s="112" t="s">
        <v>57</v>
      </c>
      <c r="H121" s="112" t="s">
        <v>466</v>
      </c>
      <c r="I121" s="113" t="s">
        <v>996</v>
      </c>
      <c r="J121" s="216" t="s">
        <v>997</v>
      </c>
      <c r="K121" s="112"/>
      <c r="L121" s="112"/>
      <c r="M121" s="114"/>
      <c r="N121" s="214" t="s">
        <v>874</v>
      </c>
    </row>
    <row r="122" spans="1:14" ht="90" x14ac:dyDescent="0.25">
      <c r="A122" s="111" t="s">
        <v>874</v>
      </c>
      <c r="B122" s="111" t="s">
        <v>874</v>
      </c>
      <c r="C122" s="111"/>
      <c r="D122" s="111"/>
      <c r="E122" s="111"/>
      <c r="F122" s="111"/>
      <c r="G122" s="112" t="s">
        <v>57</v>
      </c>
      <c r="H122" s="112" t="s">
        <v>479</v>
      </c>
      <c r="I122" s="116" t="s">
        <v>998</v>
      </c>
      <c r="J122" s="217" t="s">
        <v>0</v>
      </c>
      <c r="K122" s="112" t="s">
        <v>478</v>
      </c>
      <c r="L122" s="112"/>
      <c r="M122" s="114"/>
    </row>
    <row r="123" spans="1:14" ht="45" x14ac:dyDescent="0.25">
      <c r="A123" s="111"/>
      <c r="B123" s="111"/>
      <c r="C123" s="111" t="s">
        <v>874</v>
      </c>
      <c r="D123" s="111"/>
      <c r="E123" s="111"/>
      <c r="F123" s="111"/>
      <c r="G123" s="112" t="s">
        <v>57</v>
      </c>
      <c r="H123" s="112" t="s">
        <v>620</v>
      </c>
      <c r="I123" s="113" t="s">
        <v>1</v>
      </c>
      <c r="J123" s="216" t="s">
        <v>1617</v>
      </c>
      <c r="K123" s="112" t="s">
        <v>619</v>
      </c>
      <c r="L123" s="112"/>
      <c r="M123" s="114"/>
    </row>
    <row r="124" spans="1:14" ht="135" x14ac:dyDescent="0.25">
      <c r="A124" s="115"/>
      <c r="B124" s="115"/>
      <c r="C124" s="115"/>
      <c r="D124" s="115" t="s">
        <v>874</v>
      </c>
      <c r="E124" s="115" t="s">
        <v>874</v>
      </c>
      <c r="F124" s="115" t="s">
        <v>874</v>
      </c>
      <c r="G124" s="112" t="s">
        <v>57</v>
      </c>
      <c r="H124" s="114" t="s">
        <v>1210</v>
      </c>
      <c r="I124" s="114" t="s">
        <v>1211</v>
      </c>
      <c r="J124" s="216" t="s">
        <v>1893</v>
      </c>
      <c r="K124" s="114"/>
      <c r="L124" s="114" t="s">
        <v>1212</v>
      </c>
      <c r="M124" s="114"/>
    </row>
    <row r="125" spans="1:14" ht="45" x14ac:dyDescent="0.25">
      <c r="A125" s="115" t="s">
        <v>874</v>
      </c>
      <c r="B125" s="115" t="s">
        <v>874</v>
      </c>
      <c r="C125" s="115"/>
      <c r="D125" s="115"/>
      <c r="E125" s="115"/>
      <c r="F125" s="115" t="s">
        <v>874</v>
      </c>
      <c r="G125" s="112" t="s">
        <v>57</v>
      </c>
      <c r="H125" s="114" t="s">
        <v>1625</v>
      </c>
      <c r="I125" s="114" t="s">
        <v>1076</v>
      </c>
      <c r="J125" s="216" t="s">
        <v>719</v>
      </c>
      <c r="K125" s="114" t="s">
        <v>771</v>
      </c>
      <c r="L125" s="114"/>
      <c r="M125" s="114"/>
    </row>
    <row r="126" spans="1:14" ht="105" x14ac:dyDescent="0.25">
      <c r="A126" s="115" t="s">
        <v>874</v>
      </c>
      <c r="B126" s="115" t="s">
        <v>874</v>
      </c>
      <c r="C126" s="115"/>
      <c r="D126" s="115"/>
      <c r="E126" s="115"/>
      <c r="F126" s="115" t="s">
        <v>874</v>
      </c>
      <c r="G126" s="112" t="s">
        <v>57</v>
      </c>
      <c r="H126" s="114" t="s">
        <v>878</v>
      </c>
      <c r="I126" s="117" t="s">
        <v>1444</v>
      </c>
      <c r="J126" s="216" t="s">
        <v>1894</v>
      </c>
      <c r="K126" s="114"/>
      <c r="L126" s="114"/>
      <c r="M126" s="114"/>
    </row>
    <row r="127" spans="1:14" ht="90" x14ac:dyDescent="0.25">
      <c r="A127" s="111"/>
      <c r="B127" s="111" t="s">
        <v>874</v>
      </c>
      <c r="C127" s="111"/>
      <c r="D127" s="111"/>
      <c r="E127" s="111"/>
      <c r="F127" s="111" t="s">
        <v>874</v>
      </c>
      <c r="G127" s="112" t="s">
        <v>57</v>
      </c>
      <c r="H127" s="112" t="s">
        <v>467</v>
      </c>
      <c r="I127" s="116" t="s">
        <v>637</v>
      </c>
      <c r="J127" s="217" t="s">
        <v>1642</v>
      </c>
      <c r="K127" s="112" t="s">
        <v>658</v>
      </c>
      <c r="L127" s="112"/>
      <c r="M127" s="114"/>
    </row>
    <row r="128" spans="1:14" ht="75" x14ac:dyDescent="0.25">
      <c r="A128" s="111" t="s">
        <v>874</v>
      </c>
      <c r="B128" s="111" t="s">
        <v>874</v>
      </c>
      <c r="C128" s="111"/>
      <c r="D128" s="111"/>
      <c r="E128" s="111"/>
      <c r="F128" s="111" t="s">
        <v>874</v>
      </c>
      <c r="G128" s="112" t="s">
        <v>57</v>
      </c>
      <c r="H128" s="112" t="s">
        <v>468</v>
      </c>
      <c r="I128" s="116" t="s">
        <v>1896</v>
      </c>
      <c r="J128" s="216" t="s">
        <v>1895</v>
      </c>
      <c r="K128" s="112" t="s">
        <v>756</v>
      </c>
      <c r="L128" s="112"/>
      <c r="M128" s="114"/>
    </row>
    <row r="129" spans="1:16" ht="45" x14ac:dyDescent="0.25">
      <c r="A129" s="111"/>
      <c r="B129" s="111"/>
      <c r="C129" s="111" t="s">
        <v>874</v>
      </c>
      <c r="D129" s="111"/>
      <c r="E129" s="111"/>
      <c r="F129" s="111" t="s">
        <v>874</v>
      </c>
      <c r="G129" s="112" t="s">
        <v>57</v>
      </c>
      <c r="H129" s="112" t="s">
        <v>625</v>
      </c>
      <c r="I129" s="113" t="s">
        <v>638</v>
      </c>
      <c r="J129" s="216" t="s">
        <v>2030</v>
      </c>
      <c r="K129" s="112" t="s">
        <v>624</v>
      </c>
      <c r="L129" s="112"/>
      <c r="M129" s="114"/>
    </row>
    <row r="130" spans="1:16" ht="60" x14ac:dyDescent="0.25">
      <c r="A130" s="115"/>
      <c r="B130" s="115"/>
      <c r="C130" s="115" t="s">
        <v>874</v>
      </c>
      <c r="D130" s="115"/>
      <c r="E130" s="115"/>
      <c r="F130" s="115"/>
      <c r="G130" s="112" t="s">
        <v>57</v>
      </c>
      <c r="H130" s="114" t="s">
        <v>1178</v>
      </c>
      <c r="I130" s="114" t="s">
        <v>1209</v>
      </c>
      <c r="J130" s="113" t="s">
        <v>1002</v>
      </c>
      <c r="K130" s="114" t="s">
        <v>1844</v>
      </c>
      <c r="L130" s="114"/>
      <c r="M130" s="114"/>
    </row>
    <row r="131" spans="1:16" ht="90" x14ac:dyDescent="0.25">
      <c r="A131" s="111" t="s">
        <v>874</v>
      </c>
      <c r="B131" s="111" t="s">
        <v>874</v>
      </c>
      <c r="C131" s="111"/>
      <c r="D131" s="111"/>
      <c r="E131" s="111"/>
      <c r="F131" s="111" t="s">
        <v>874</v>
      </c>
      <c r="G131" s="112" t="s">
        <v>57</v>
      </c>
      <c r="H131" s="112" t="s">
        <v>469</v>
      </c>
      <c r="I131" s="113" t="s">
        <v>639</v>
      </c>
      <c r="J131" s="216" t="s">
        <v>67</v>
      </c>
      <c r="K131" s="112"/>
      <c r="L131" s="112"/>
      <c r="M131" s="114"/>
      <c r="N131" s="214" t="s">
        <v>874</v>
      </c>
    </row>
    <row r="132" spans="1:16" ht="45" x14ac:dyDescent="0.25">
      <c r="A132" s="111"/>
      <c r="B132" s="111" t="s">
        <v>874</v>
      </c>
      <c r="C132" s="111"/>
      <c r="D132" s="111"/>
      <c r="E132" s="111"/>
      <c r="F132" s="111"/>
      <c r="G132" s="112" t="s">
        <v>57</v>
      </c>
      <c r="H132" s="112" t="s">
        <v>470</v>
      </c>
      <c r="I132" s="113" t="s">
        <v>68</v>
      </c>
      <c r="J132" s="216" t="s">
        <v>69</v>
      </c>
      <c r="K132" s="112"/>
      <c r="L132" s="112"/>
      <c r="M132" s="114"/>
    </row>
    <row r="133" spans="1:16" ht="30" x14ac:dyDescent="0.25">
      <c r="A133" s="111" t="s">
        <v>874</v>
      </c>
      <c r="B133" s="111" t="s">
        <v>874</v>
      </c>
      <c r="C133" s="111"/>
      <c r="D133" s="111"/>
      <c r="E133" s="111"/>
      <c r="F133" s="111" t="s">
        <v>874</v>
      </c>
      <c r="G133" s="112" t="s">
        <v>57</v>
      </c>
      <c r="H133" s="112" t="s">
        <v>613</v>
      </c>
      <c r="I133" s="113" t="s">
        <v>70</v>
      </c>
      <c r="J133" s="216" t="s">
        <v>71</v>
      </c>
      <c r="K133" s="112" t="s">
        <v>612</v>
      </c>
      <c r="L133" s="112"/>
      <c r="M133" s="114"/>
      <c r="N133"/>
      <c r="O133" t="s">
        <v>874</v>
      </c>
      <c r="P133"/>
    </row>
    <row r="134" spans="1:16" x14ac:dyDescent="0.25">
      <c r="A134" s="109"/>
      <c r="B134" s="109"/>
      <c r="C134" s="109"/>
      <c r="D134" s="109"/>
      <c r="E134" s="109"/>
      <c r="F134" s="109"/>
      <c r="G134"/>
      <c r="H134"/>
      <c r="J134" s="1"/>
      <c r="K134"/>
      <c r="L134"/>
      <c r="M134"/>
      <c r="N134"/>
      <c r="O134"/>
      <c r="P134"/>
    </row>
    <row r="135" spans="1:16" x14ac:dyDescent="0.25">
      <c r="A135" s="109"/>
      <c r="B135" s="109"/>
      <c r="C135" s="109"/>
      <c r="D135" s="109"/>
      <c r="E135" s="109"/>
      <c r="F135" s="109"/>
      <c r="G135"/>
      <c r="H135"/>
      <c r="J135" s="1"/>
      <c r="K135"/>
      <c r="L135"/>
      <c r="M135"/>
      <c r="N135"/>
      <c r="O135" t="s">
        <v>874</v>
      </c>
      <c r="P135"/>
    </row>
    <row r="136" spans="1:16" x14ac:dyDescent="0.25">
      <c r="A136" s="109"/>
      <c r="B136" s="109"/>
      <c r="C136" s="109"/>
      <c r="D136" s="109"/>
      <c r="E136" s="109"/>
      <c r="F136" s="109"/>
      <c r="G136"/>
      <c r="H136"/>
      <c r="J136" s="1"/>
      <c r="K136"/>
      <c r="L136"/>
      <c r="M136"/>
      <c r="N136"/>
      <c r="O136" t="s">
        <v>874</v>
      </c>
      <c r="P136"/>
    </row>
    <row r="137" spans="1:16" x14ac:dyDescent="0.25">
      <c r="A137" s="109"/>
      <c r="B137" s="109"/>
      <c r="C137" s="109"/>
      <c r="D137" s="109"/>
      <c r="E137" s="109"/>
      <c r="F137" s="109"/>
      <c r="G137"/>
      <c r="H137"/>
      <c r="J137" s="1"/>
      <c r="K137"/>
      <c r="L137"/>
      <c r="M137"/>
      <c r="N137"/>
      <c r="O137"/>
      <c r="P137"/>
    </row>
    <row r="138" spans="1:16" x14ac:dyDescent="0.25">
      <c r="A138" s="109"/>
      <c r="B138" s="109"/>
      <c r="C138" s="109"/>
      <c r="D138" s="109"/>
      <c r="E138" s="109"/>
      <c r="F138" s="109"/>
      <c r="G138"/>
      <c r="H138"/>
      <c r="J138" s="5"/>
      <c r="K138"/>
      <c r="L138"/>
      <c r="M138"/>
      <c r="N138"/>
      <c r="O138" t="s">
        <v>874</v>
      </c>
      <c r="P138"/>
    </row>
    <row r="139" spans="1:16" x14ac:dyDescent="0.25">
      <c r="A139" s="109"/>
      <c r="B139" s="109"/>
      <c r="C139" s="109"/>
      <c r="D139" s="109"/>
      <c r="E139" s="109"/>
      <c r="F139" s="109"/>
      <c r="G139"/>
      <c r="H139"/>
      <c r="J139" s="1"/>
      <c r="K139"/>
      <c r="L139"/>
      <c r="M139"/>
      <c r="N139"/>
      <c r="O139" t="s">
        <v>874</v>
      </c>
      <c r="P139"/>
    </row>
    <row r="140" spans="1:16" x14ac:dyDescent="0.25">
      <c r="A140" s="109"/>
      <c r="B140" s="109"/>
      <c r="C140" s="109"/>
      <c r="D140" s="109"/>
      <c r="E140" s="109"/>
      <c r="F140" s="109"/>
      <c r="G140"/>
      <c r="H140"/>
      <c r="J140" s="1"/>
      <c r="K140"/>
      <c r="L140"/>
      <c r="M140"/>
      <c r="N140"/>
      <c r="O140" t="s">
        <v>874</v>
      </c>
      <c r="P140"/>
    </row>
    <row r="141" spans="1:16" x14ac:dyDescent="0.25">
      <c r="A141" s="109"/>
      <c r="B141" s="109"/>
      <c r="C141" s="109"/>
      <c r="D141" s="109"/>
      <c r="E141" s="109"/>
      <c r="F141" s="109"/>
      <c r="G141"/>
      <c r="H141"/>
      <c r="J141" s="1"/>
      <c r="K141"/>
      <c r="L141"/>
      <c r="M141"/>
      <c r="N141"/>
      <c r="O141" t="s">
        <v>874</v>
      </c>
      <c r="P141"/>
    </row>
    <row r="142" spans="1:16" x14ac:dyDescent="0.25">
      <c r="A142" s="109"/>
      <c r="B142" s="109"/>
      <c r="C142" s="109"/>
      <c r="D142" s="109"/>
      <c r="E142" s="109"/>
      <c r="F142" s="109"/>
      <c r="G142"/>
      <c r="H142"/>
      <c r="J142" s="1"/>
      <c r="K142"/>
      <c r="L142"/>
      <c r="M142"/>
      <c r="N142"/>
      <c r="O142" t="s">
        <v>874</v>
      </c>
      <c r="P142"/>
    </row>
    <row r="143" spans="1:16" x14ac:dyDescent="0.25">
      <c r="A143" s="109"/>
      <c r="B143" s="109"/>
      <c r="C143" s="109"/>
      <c r="D143" s="109"/>
      <c r="E143" s="109"/>
      <c r="F143" s="109"/>
      <c r="G143"/>
      <c r="H143"/>
      <c r="J143" s="1"/>
      <c r="K143"/>
      <c r="L143"/>
      <c r="M143"/>
      <c r="N143"/>
      <c r="O143" t="s">
        <v>874</v>
      </c>
      <c r="P143"/>
    </row>
    <row r="144" spans="1:16" x14ac:dyDescent="0.25">
      <c r="A144" s="109"/>
      <c r="B144" s="109"/>
      <c r="C144" s="109"/>
      <c r="D144" s="109"/>
      <c r="E144" s="109"/>
      <c r="F144" s="109"/>
      <c r="G144"/>
      <c r="H144"/>
      <c r="J144" s="218"/>
      <c r="K144"/>
      <c r="L144"/>
      <c r="M144"/>
      <c r="N144"/>
      <c r="O144"/>
      <c r="P144"/>
    </row>
    <row r="145" spans="1:16" x14ac:dyDescent="0.25">
      <c r="A145" s="109"/>
      <c r="B145" s="109"/>
      <c r="C145" s="109"/>
      <c r="D145" s="109"/>
      <c r="E145" s="109"/>
      <c r="F145" s="109"/>
      <c r="G145"/>
      <c r="H145"/>
      <c r="J145" s="1"/>
      <c r="K145"/>
      <c r="L145"/>
      <c r="M145"/>
      <c r="N145"/>
      <c r="O145"/>
      <c r="P145"/>
    </row>
    <row r="146" spans="1:16" x14ac:dyDescent="0.25">
      <c r="A146" s="109"/>
      <c r="B146" s="109"/>
      <c r="C146" s="109"/>
      <c r="D146" s="109"/>
      <c r="E146" s="109"/>
      <c r="F146" s="109"/>
      <c r="G146"/>
      <c r="H146"/>
      <c r="J146" s="5"/>
      <c r="K146"/>
      <c r="L146"/>
      <c r="M146"/>
      <c r="N146"/>
      <c r="O146"/>
      <c r="P146"/>
    </row>
    <row r="147" spans="1:16" x14ac:dyDescent="0.25">
      <c r="A147" s="109"/>
      <c r="B147" s="109"/>
      <c r="C147" s="109"/>
      <c r="D147" s="109"/>
      <c r="E147" s="109"/>
      <c r="F147" s="109"/>
      <c r="G147"/>
      <c r="H147"/>
      <c r="J147" s="1"/>
      <c r="K147"/>
      <c r="L147"/>
      <c r="M147"/>
      <c r="N147"/>
      <c r="O147" t="s">
        <v>874</v>
      </c>
      <c r="P147"/>
    </row>
    <row r="148" spans="1:16" x14ac:dyDescent="0.25">
      <c r="A148" s="109"/>
      <c r="B148" s="109"/>
      <c r="C148" s="109"/>
      <c r="D148" s="109"/>
      <c r="E148" s="109"/>
      <c r="F148" s="109"/>
      <c r="G148"/>
      <c r="H148"/>
      <c r="J148" s="5"/>
      <c r="K148"/>
      <c r="L148"/>
      <c r="M148"/>
      <c r="N148"/>
      <c r="O148" t="s">
        <v>874</v>
      </c>
      <c r="P148"/>
    </row>
    <row r="149" spans="1:16" x14ac:dyDescent="0.25">
      <c r="A149" s="109"/>
      <c r="B149" s="109"/>
      <c r="C149" s="109"/>
      <c r="D149" s="109"/>
      <c r="E149" s="109"/>
      <c r="F149" s="109"/>
      <c r="G149"/>
      <c r="H149"/>
      <c r="J149" s="1"/>
      <c r="K149"/>
      <c r="L149"/>
      <c r="M149"/>
      <c r="N149"/>
      <c r="O149" t="s">
        <v>874</v>
      </c>
      <c r="P149"/>
    </row>
    <row r="150" spans="1:16" x14ac:dyDescent="0.25">
      <c r="A150" s="109"/>
      <c r="B150" s="109"/>
      <c r="C150" s="109"/>
      <c r="D150" s="109"/>
      <c r="E150" s="109"/>
      <c r="F150" s="109"/>
      <c r="G150"/>
      <c r="H150"/>
      <c r="J150" s="1"/>
      <c r="K150"/>
      <c r="L150"/>
      <c r="M150"/>
      <c r="N150"/>
      <c r="O150"/>
      <c r="P150"/>
    </row>
    <row r="151" spans="1:16" x14ac:dyDescent="0.25">
      <c r="A151" s="109"/>
      <c r="B151" s="109"/>
      <c r="C151" s="109"/>
      <c r="D151" s="109"/>
      <c r="E151" s="109"/>
      <c r="F151" s="109"/>
      <c r="G151"/>
      <c r="H151"/>
      <c r="J151" s="1"/>
      <c r="K151"/>
      <c r="L151"/>
      <c r="M151"/>
      <c r="N151"/>
      <c r="O151"/>
      <c r="P151"/>
    </row>
    <row r="152" spans="1:16" x14ac:dyDescent="0.25">
      <c r="A152" s="109"/>
      <c r="B152" s="109"/>
      <c r="C152" s="109"/>
      <c r="D152" s="109"/>
      <c r="E152" s="109"/>
      <c r="F152" s="109"/>
      <c r="G152"/>
      <c r="H152"/>
      <c r="J152" s="218"/>
      <c r="K152"/>
      <c r="L152"/>
      <c r="M152"/>
      <c r="N152"/>
      <c r="O152" t="s">
        <v>874</v>
      </c>
      <c r="P152"/>
    </row>
    <row r="153" spans="1:16" x14ac:dyDescent="0.25">
      <c r="A153" s="109"/>
      <c r="B153" s="109"/>
      <c r="C153" s="109"/>
      <c r="D153" s="109"/>
      <c r="E153" s="109"/>
      <c r="F153" s="109"/>
      <c r="G153"/>
      <c r="H153"/>
      <c r="J153" s="1"/>
      <c r="K153"/>
      <c r="L153"/>
      <c r="M153"/>
      <c r="N153"/>
      <c r="O153"/>
      <c r="P153"/>
    </row>
    <row r="154" spans="1:16" x14ac:dyDescent="0.25">
      <c r="A154" s="109"/>
      <c r="B154" s="109"/>
      <c r="C154" s="109"/>
      <c r="D154" s="109"/>
      <c r="E154" s="109"/>
      <c r="F154" s="109"/>
      <c r="G154"/>
      <c r="H154"/>
      <c r="J154" s="1"/>
      <c r="K154"/>
      <c r="L154"/>
      <c r="M154"/>
      <c r="N154"/>
      <c r="O154" t="s">
        <v>874</v>
      </c>
      <c r="P154"/>
    </row>
    <row r="155" spans="1:16" x14ac:dyDescent="0.25">
      <c r="A155" s="109"/>
      <c r="B155" s="109"/>
      <c r="C155" s="109"/>
      <c r="D155" s="109"/>
      <c r="E155" s="109"/>
      <c r="F155" s="109"/>
      <c r="G155"/>
      <c r="H155"/>
      <c r="J155" s="1"/>
      <c r="K155"/>
      <c r="L155"/>
      <c r="M155"/>
      <c r="N155"/>
      <c r="O155"/>
      <c r="P155"/>
    </row>
    <row r="156" spans="1:16" x14ac:dyDescent="0.25">
      <c r="A156" s="109"/>
      <c r="B156" s="109"/>
      <c r="C156" s="109"/>
      <c r="D156" s="109"/>
      <c r="E156" s="109"/>
      <c r="F156" s="109"/>
      <c r="G156"/>
      <c r="H156"/>
      <c r="J156" s="1"/>
      <c r="K156"/>
      <c r="L156"/>
      <c r="M156"/>
      <c r="N156"/>
      <c r="O156" t="s">
        <v>874</v>
      </c>
      <c r="P156"/>
    </row>
    <row r="157" spans="1:16" x14ac:dyDescent="0.25">
      <c r="A157" s="109"/>
      <c r="B157" s="109"/>
      <c r="C157" s="109"/>
      <c r="D157" s="109"/>
      <c r="E157" s="109"/>
      <c r="F157" s="109"/>
      <c r="G157"/>
      <c r="H157"/>
      <c r="J157" s="1"/>
      <c r="K157"/>
      <c r="L157"/>
      <c r="M157"/>
      <c r="N157"/>
      <c r="O157" t="s">
        <v>874</v>
      </c>
      <c r="P157"/>
    </row>
    <row r="158" spans="1:16" x14ac:dyDescent="0.25">
      <c r="A158" s="109"/>
      <c r="B158" s="109"/>
      <c r="C158" s="109"/>
      <c r="D158" s="109"/>
      <c r="E158" s="109"/>
      <c r="F158" s="109"/>
      <c r="G158"/>
      <c r="H158"/>
      <c r="J158" s="1"/>
      <c r="K158"/>
      <c r="L158"/>
      <c r="M158"/>
      <c r="N158"/>
      <c r="O158" t="s">
        <v>874</v>
      </c>
      <c r="P158"/>
    </row>
    <row r="159" spans="1:16" x14ac:dyDescent="0.25">
      <c r="A159" s="109"/>
      <c r="B159" s="109"/>
      <c r="C159" s="109"/>
      <c r="D159" s="109"/>
      <c r="E159" s="109"/>
      <c r="F159" s="109"/>
      <c r="G159"/>
      <c r="H159"/>
      <c r="J159" s="1"/>
      <c r="K159"/>
      <c r="L159"/>
      <c r="M159"/>
      <c r="N159"/>
      <c r="O159" t="s">
        <v>874</v>
      </c>
      <c r="P159"/>
    </row>
    <row r="160" spans="1:16" x14ac:dyDescent="0.25">
      <c r="A160" s="109"/>
      <c r="B160" s="109"/>
      <c r="C160" s="109"/>
      <c r="D160" s="109"/>
      <c r="E160" s="109"/>
      <c r="F160" s="109"/>
      <c r="G160"/>
      <c r="H160"/>
      <c r="J160" s="1"/>
      <c r="K160"/>
      <c r="L160"/>
      <c r="M160"/>
      <c r="N160"/>
      <c r="O160"/>
      <c r="P160"/>
    </row>
    <row r="161" spans="1:16" x14ac:dyDescent="0.25">
      <c r="A161" s="109"/>
      <c r="B161" s="109"/>
      <c r="C161" s="109"/>
      <c r="D161" s="109"/>
      <c r="E161" s="109"/>
      <c r="F161" s="109"/>
      <c r="G161"/>
      <c r="H161"/>
      <c r="J161" s="1"/>
      <c r="K161"/>
      <c r="L161"/>
      <c r="M161"/>
      <c r="N161"/>
      <c r="O161"/>
      <c r="P161"/>
    </row>
    <row r="162" spans="1:16" x14ac:dyDescent="0.25">
      <c r="A162" s="109"/>
      <c r="B162" s="109"/>
      <c r="C162" s="109"/>
      <c r="D162" s="109"/>
      <c r="E162" s="109"/>
      <c r="F162" s="109"/>
      <c r="G162"/>
      <c r="H162"/>
      <c r="J162" s="1"/>
      <c r="K162"/>
      <c r="L162"/>
      <c r="M162"/>
      <c r="N162"/>
      <c r="O162" t="s">
        <v>874</v>
      </c>
      <c r="P162"/>
    </row>
    <row r="163" spans="1:16" x14ac:dyDescent="0.25">
      <c r="A163" s="109"/>
      <c r="B163" s="109"/>
      <c r="C163" s="109"/>
      <c r="D163" s="109"/>
      <c r="E163" s="109"/>
      <c r="F163" s="109"/>
      <c r="G163"/>
      <c r="H163"/>
      <c r="J163" s="1"/>
      <c r="K163"/>
      <c r="L163"/>
      <c r="M163"/>
      <c r="N163"/>
      <c r="O163"/>
      <c r="P163"/>
    </row>
    <row r="164" spans="1:16" x14ac:dyDescent="0.25">
      <c r="A164" s="109"/>
      <c r="B164" s="109"/>
      <c r="C164" s="109"/>
      <c r="D164" s="109"/>
      <c r="E164" s="109"/>
      <c r="F164" s="109"/>
      <c r="G164"/>
      <c r="H164"/>
      <c r="J164" s="5"/>
      <c r="K164"/>
      <c r="L164"/>
      <c r="M164"/>
      <c r="N164"/>
      <c r="O164"/>
      <c r="P164"/>
    </row>
    <row r="165" spans="1:16" x14ac:dyDescent="0.25">
      <c r="A165" s="109"/>
      <c r="B165" s="109"/>
      <c r="C165" s="109"/>
      <c r="D165" s="109"/>
      <c r="E165" s="109"/>
      <c r="F165" s="109"/>
      <c r="G165"/>
      <c r="H165"/>
      <c r="J165" s="1"/>
      <c r="K165"/>
      <c r="L165"/>
      <c r="M165"/>
      <c r="N165"/>
      <c r="O165" t="s">
        <v>874</v>
      </c>
      <c r="P165"/>
    </row>
    <row r="166" spans="1:16" x14ac:dyDescent="0.25">
      <c r="A166" s="109"/>
      <c r="B166" s="109"/>
      <c r="C166" s="109"/>
      <c r="D166" s="109"/>
      <c r="E166" s="109"/>
      <c r="F166" s="109"/>
      <c r="G166"/>
      <c r="H166"/>
      <c r="J166" s="1"/>
      <c r="K166"/>
      <c r="L166"/>
      <c r="M166"/>
      <c r="N166"/>
      <c r="O166"/>
      <c r="P166"/>
    </row>
    <row r="167" spans="1:16" x14ac:dyDescent="0.25">
      <c r="A167" s="109"/>
      <c r="B167" s="109"/>
      <c r="C167" s="109"/>
      <c r="D167" s="109"/>
      <c r="E167" s="109"/>
      <c r="F167" s="109"/>
      <c r="G167"/>
      <c r="H167"/>
      <c r="J167" s="1"/>
      <c r="K167"/>
      <c r="L167"/>
      <c r="M167"/>
      <c r="N167"/>
      <c r="O167" t="s">
        <v>874</v>
      </c>
      <c r="P167"/>
    </row>
    <row r="168" spans="1:16" x14ac:dyDescent="0.25">
      <c r="A168" s="109"/>
      <c r="B168" s="109"/>
      <c r="C168" s="109"/>
      <c r="D168" s="109"/>
      <c r="E168" s="109"/>
      <c r="F168" s="109"/>
      <c r="G168"/>
      <c r="H168"/>
      <c r="J168" s="1"/>
      <c r="K168"/>
      <c r="L168"/>
      <c r="M168"/>
      <c r="N168"/>
      <c r="O168" t="s">
        <v>874</v>
      </c>
      <c r="P168" t="s">
        <v>354</v>
      </c>
    </row>
    <row r="169" spans="1:16" x14ac:dyDescent="0.25">
      <c r="A169" s="109"/>
      <c r="B169" s="109"/>
      <c r="C169" s="109"/>
      <c r="D169" s="109"/>
      <c r="E169" s="109"/>
      <c r="F169" s="109"/>
      <c r="G169"/>
      <c r="H169"/>
      <c r="J169" s="1"/>
      <c r="K169"/>
      <c r="L169"/>
      <c r="M169"/>
      <c r="N169"/>
      <c r="O169" t="s">
        <v>874</v>
      </c>
      <c r="P169"/>
    </row>
    <row r="170" spans="1:16" x14ac:dyDescent="0.25">
      <c r="A170" s="109"/>
      <c r="B170" s="109"/>
      <c r="C170" s="109"/>
      <c r="D170" s="109"/>
      <c r="E170" s="109"/>
      <c r="F170" s="109"/>
      <c r="G170"/>
      <c r="H170"/>
      <c r="J170" s="1"/>
      <c r="K170"/>
      <c r="L170"/>
      <c r="M170"/>
      <c r="N170"/>
      <c r="O170"/>
      <c r="P170"/>
    </row>
    <row r="171" spans="1:16" x14ac:dyDescent="0.25">
      <c r="A171" s="109"/>
      <c r="B171" s="109"/>
      <c r="C171" s="109"/>
      <c r="D171" s="109"/>
      <c r="E171" s="109"/>
      <c r="F171" s="109"/>
      <c r="G171"/>
      <c r="H171"/>
      <c r="J171" s="1"/>
      <c r="K171"/>
      <c r="L171"/>
      <c r="M171"/>
      <c r="N171"/>
      <c r="O171" t="s">
        <v>874</v>
      </c>
      <c r="P171"/>
    </row>
    <row r="172" spans="1:16" x14ac:dyDescent="0.25">
      <c r="A172" s="109"/>
      <c r="B172" s="109"/>
      <c r="C172" s="109"/>
      <c r="D172" s="109"/>
      <c r="E172" s="109"/>
      <c r="F172" s="109"/>
      <c r="G172"/>
      <c r="H172"/>
      <c r="J172" s="5"/>
      <c r="K172"/>
      <c r="L172"/>
      <c r="M172"/>
      <c r="N172"/>
      <c r="O172"/>
      <c r="P172"/>
    </row>
    <row r="173" spans="1:16" x14ac:dyDescent="0.25">
      <c r="A173" s="109"/>
      <c r="B173" s="109"/>
      <c r="C173" s="109"/>
      <c r="D173" s="109"/>
      <c r="E173" s="109"/>
      <c r="F173" s="109"/>
      <c r="G173"/>
      <c r="H173"/>
      <c r="J173" s="1"/>
      <c r="K173"/>
      <c r="L173"/>
      <c r="M173"/>
      <c r="N173"/>
      <c r="O173" t="s">
        <v>874</v>
      </c>
      <c r="P173"/>
    </row>
    <row r="174" spans="1:16" x14ac:dyDescent="0.25">
      <c r="A174" s="109"/>
      <c r="B174" s="109"/>
      <c r="C174" s="109"/>
      <c r="D174" s="109"/>
      <c r="E174" s="109"/>
      <c r="F174" s="109"/>
      <c r="G174"/>
      <c r="H174"/>
      <c r="J174" s="1"/>
      <c r="K174"/>
      <c r="L174"/>
      <c r="M174"/>
      <c r="N174"/>
      <c r="O174"/>
      <c r="P174"/>
    </row>
    <row r="175" spans="1:16" x14ac:dyDescent="0.25">
      <c r="A175" s="109"/>
      <c r="B175" s="109"/>
      <c r="C175" s="109"/>
      <c r="D175" s="109"/>
      <c r="E175" s="109"/>
      <c r="F175" s="109"/>
      <c r="G175"/>
      <c r="H175"/>
      <c r="J175" s="1"/>
      <c r="K175"/>
      <c r="L175"/>
      <c r="M175"/>
      <c r="N175"/>
      <c r="O175" t="s">
        <v>874</v>
      </c>
      <c r="P175"/>
    </row>
    <row r="176" spans="1:16" x14ac:dyDescent="0.25">
      <c r="A176" s="109"/>
      <c r="B176" s="109"/>
      <c r="C176" s="109"/>
      <c r="D176" s="109"/>
      <c r="E176" s="109"/>
      <c r="F176" s="109"/>
      <c r="G176"/>
      <c r="H176"/>
      <c r="J176" s="1"/>
      <c r="K176"/>
      <c r="L176"/>
      <c r="M176"/>
      <c r="N176"/>
      <c r="O176" t="s">
        <v>874</v>
      </c>
      <c r="P176"/>
    </row>
    <row r="177" spans="1:16" x14ac:dyDescent="0.25">
      <c r="A177" s="109"/>
      <c r="B177" s="109"/>
      <c r="C177" s="109"/>
      <c r="D177" s="109"/>
      <c r="E177" s="109"/>
      <c r="F177" s="109"/>
      <c r="G177"/>
      <c r="H177"/>
      <c r="J177" s="1"/>
      <c r="K177"/>
      <c r="L177"/>
      <c r="M177"/>
      <c r="N177"/>
      <c r="O177" t="s">
        <v>874</v>
      </c>
      <c r="P177"/>
    </row>
    <row r="178" spans="1:16" x14ac:dyDescent="0.25">
      <c r="A178" s="109"/>
      <c r="B178" s="109"/>
      <c r="C178" s="109"/>
      <c r="D178" s="109"/>
      <c r="E178" s="109"/>
      <c r="F178" s="109"/>
      <c r="G178"/>
      <c r="H178"/>
      <c r="J178" s="1"/>
      <c r="K178"/>
      <c r="L178"/>
      <c r="M178"/>
      <c r="N178"/>
      <c r="O178" t="s">
        <v>874</v>
      </c>
      <c r="P178"/>
    </row>
    <row r="179" spans="1:16" x14ac:dyDescent="0.25">
      <c r="A179" s="109"/>
      <c r="B179" s="109"/>
      <c r="C179" s="109"/>
      <c r="D179" s="109"/>
      <c r="E179" s="109"/>
      <c r="F179" s="109"/>
      <c r="G179"/>
      <c r="H179"/>
      <c r="J179" s="1"/>
      <c r="K179"/>
      <c r="L179"/>
      <c r="M179"/>
      <c r="N179"/>
      <c r="O179"/>
      <c r="P179"/>
    </row>
    <row r="180" spans="1:16" x14ac:dyDescent="0.25">
      <c r="A180" s="109"/>
      <c r="B180" s="109"/>
      <c r="C180" s="109"/>
      <c r="D180" s="109"/>
      <c r="E180" s="109"/>
      <c r="F180" s="109"/>
      <c r="G180"/>
      <c r="H180"/>
      <c r="J180" s="1"/>
      <c r="K180"/>
      <c r="L180"/>
      <c r="M180"/>
      <c r="N180"/>
      <c r="O180" t="s">
        <v>874</v>
      </c>
      <c r="P180"/>
    </row>
    <row r="181" spans="1:16" x14ac:dyDescent="0.25">
      <c r="A181" s="109"/>
      <c r="B181" s="109"/>
      <c r="C181" s="109"/>
      <c r="D181" s="109"/>
      <c r="E181" s="109"/>
      <c r="F181" s="109"/>
      <c r="G181"/>
      <c r="H181"/>
      <c r="J181" s="1"/>
      <c r="K181"/>
      <c r="L181"/>
      <c r="M181"/>
      <c r="N181"/>
      <c r="O181" t="s">
        <v>874</v>
      </c>
      <c r="P181"/>
    </row>
    <row r="182" spans="1:16" x14ac:dyDescent="0.25">
      <c r="A182" s="109"/>
      <c r="B182" s="109"/>
      <c r="C182" s="109"/>
      <c r="D182" s="109"/>
      <c r="E182" s="109"/>
      <c r="F182" s="109"/>
      <c r="G182"/>
      <c r="H182"/>
      <c r="J182" s="1"/>
      <c r="K182"/>
      <c r="L182"/>
      <c r="M182"/>
      <c r="N182"/>
      <c r="O182"/>
      <c r="P182"/>
    </row>
    <row r="183" spans="1:16" x14ac:dyDescent="0.25">
      <c r="A183" s="109"/>
      <c r="B183" s="109"/>
      <c r="C183" s="109"/>
      <c r="D183" s="109"/>
      <c r="E183" s="109"/>
      <c r="F183" s="109"/>
      <c r="G183"/>
      <c r="H183"/>
      <c r="J183" s="5"/>
      <c r="K183"/>
      <c r="L183"/>
      <c r="M183"/>
      <c r="N183"/>
      <c r="O183" t="s">
        <v>874</v>
      </c>
      <c r="P183"/>
    </row>
    <row r="184" spans="1:16" x14ac:dyDescent="0.25">
      <c r="A184" s="109"/>
      <c r="B184" s="109"/>
      <c r="C184" s="109"/>
      <c r="D184" s="109"/>
      <c r="E184" s="109"/>
      <c r="F184" s="109"/>
      <c r="G184"/>
      <c r="H184"/>
      <c r="J184" s="1"/>
      <c r="K184"/>
      <c r="L184"/>
      <c r="M184"/>
      <c r="N184"/>
      <c r="O184"/>
      <c r="P184"/>
    </row>
    <row r="185" spans="1:16" x14ac:dyDescent="0.25">
      <c r="A185" s="109"/>
      <c r="B185" s="109"/>
      <c r="C185" s="109"/>
      <c r="D185" s="109"/>
      <c r="E185" s="109"/>
      <c r="F185" s="109"/>
      <c r="G185"/>
      <c r="H185"/>
      <c r="J185" s="5"/>
      <c r="K185"/>
      <c r="L185"/>
      <c r="M185"/>
      <c r="N185"/>
      <c r="O185" t="s">
        <v>874</v>
      </c>
      <c r="P185"/>
    </row>
    <row r="186" spans="1:16" x14ac:dyDescent="0.25">
      <c r="A186" s="109"/>
      <c r="B186" s="109"/>
      <c r="C186" s="109"/>
      <c r="D186" s="109"/>
      <c r="E186" s="109"/>
      <c r="F186" s="109"/>
      <c r="G186"/>
      <c r="H186"/>
      <c r="J186" s="1"/>
      <c r="K186"/>
      <c r="L186"/>
      <c r="M186"/>
      <c r="N186"/>
      <c r="O186" t="s">
        <v>874</v>
      </c>
      <c r="P186"/>
    </row>
    <row r="187" spans="1:16" x14ac:dyDescent="0.25">
      <c r="A187" s="109"/>
      <c r="B187" s="109"/>
      <c r="C187" s="109"/>
      <c r="D187" s="109"/>
      <c r="E187" s="109"/>
      <c r="F187" s="109"/>
      <c r="G187"/>
      <c r="H187"/>
      <c r="J187" s="1"/>
      <c r="K187"/>
      <c r="L187"/>
      <c r="M187"/>
      <c r="N187"/>
      <c r="O187" t="s">
        <v>874</v>
      </c>
      <c r="P187"/>
    </row>
    <row r="188" spans="1:16" x14ac:dyDescent="0.25">
      <c r="A188" s="109"/>
      <c r="B188" s="109"/>
      <c r="C188" s="109"/>
      <c r="D188" s="109"/>
      <c r="E188" s="109"/>
      <c r="F188" s="109"/>
      <c r="G188"/>
      <c r="H188"/>
      <c r="J188" s="1"/>
      <c r="K188"/>
      <c r="L188"/>
      <c r="M188"/>
      <c r="N188"/>
      <c r="O188" t="s">
        <v>874</v>
      </c>
      <c r="P188"/>
    </row>
    <row r="189" spans="1:16" x14ac:dyDescent="0.25">
      <c r="A189" s="109"/>
      <c r="B189" s="109"/>
      <c r="C189" s="109"/>
      <c r="D189" s="109"/>
      <c r="E189" s="109"/>
      <c r="F189" s="109"/>
      <c r="G189"/>
      <c r="H189"/>
      <c r="J189" s="5"/>
      <c r="K189"/>
      <c r="L189"/>
      <c r="M189"/>
      <c r="N189"/>
      <c r="O189"/>
      <c r="P189"/>
    </row>
    <row r="190" spans="1:16" x14ac:dyDescent="0.25">
      <c r="A190" s="109"/>
      <c r="B190" s="109"/>
      <c r="C190" s="109"/>
      <c r="D190" s="109"/>
      <c r="E190" s="109"/>
      <c r="F190" s="109"/>
      <c r="G190"/>
      <c r="H190"/>
      <c r="J190" s="5"/>
      <c r="K190"/>
      <c r="L190"/>
      <c r="M190"/>
      <c r="N190"/>
      <c r="O190" t="s">
        <v>874</v>
      </c>
      <c r="P190"/>
    </row>
    <row r="191" spans="1:16" x14ac:dyDescent="0.25">
      <c r="A191" s="109"/>
      <c r="B191" s="109"/>
      <c r="C191" s="109"/>
      <c r="D191" s="109"/>
      <c r="E191" s="109"/>
      <c r="F191" s="109"/>
      <c r="G191"/>
      <c r="H191"/>
      <c r="J191" s="5"/>
      <c r="K191"/>
      <c r="L191"/>
      <c r="M191"/>
      <c r="N191"/>
      <c r="O191"/>
      <c r="P191"/>
    </row>
    <row r="192" spans="1:16" x14ac:dyDescent="0.25">
      <c r="A192" s="109"/>
      <c r="B192" s="109"/>
      <c r="C192" s="109"/>
      <c r="D192" s="109"/>
      <c r="E192" s="109"/>
      <c r="F192" s="109"/>
      <c r="G192"/>
      <c r="H192"/>
      <c r="J192" s="1"/>
      <c r="K192"/>
      <c r="L192"/>
      <c r="M192"/>
      <c r="N192"/>
      <c r="O192"/>
      <c r="P192"/>
    </row>
    <row r="193" spans="1:16" x14ac:dyDescent="0.25">
      <c r="A193" s="109"/>
      <c r="B193" s="109"/>
      <c r="C193" s="109"/>
      <c r="D193" s="109"/>
      <c r="E193" s="109"/>
      <c r="F193" s="109"/>
      <c r="G193"/>
      <c r="H193"/>
      <c r="J193" s="5"/>
      <c r="K193"/>
      <c r="L193"/>
      <c r="M193"/>
      <c r="N193"/>
      <c r="O193" t="s">
        <v>874</v>
      </c>
      <c r="P193"/>
    </row>
    <row r="194" spans="1:16" x14ac:dyDescent="0.25">
      <c r="A194" s="109"/>
      <c r="B194" s="109"/>
      <c r="C194" s="109"/>
      <c r="D194" s="109"/>
      <c r="E194" s="109"/>
      <c r="F194" s="109"/>
      <c r="G194"/>
      <c r="H194"/>
      <c r="J194" s="1"/>
      <c r="K194"/>
      <c r="L194"/>
      <c r="M194"/>
      <c r="N194"/>
      <c r="O194"/>
      <c r="P194"/>
    </row>
    <row r="195" spans="1:16" x14ac:dyDescent="0.25">
      <c r="A195" s="109"/>
      <c r="B195" s="109"/>
      <c r="C195" s="109"/>
      <c r="D195" s="109"/>
      <c r="E195" s="109"/>
      <c r="F195" s="109"/>
      <c r="G195"/>
      <c r="H195"/>
      <c r="J195" s="5"/>
      <c r="K195"/>
      <c r="L195"/>
      <c r="M195"/>
      <c r="N195"/>
      <c r="O195" t="s">
        <v>874</v>
      </c>
      <c r="P195"/>
    </row>
    <row r="196" spans="1:16" x14ac:dyDescent="0.25">
      <c r="A196" s="109"/>
      <c r="B196" s="109"/>
      <c r="C196" s="109"/>
      <c r="D196" s="109"/>
      <c r="E196" s="109"/>
      <c r="F196" s="109"/>
      <c r="G196"/>
      <c r="H196"/>
      <c r="J196" s="5"/>
      <c r="K196"/>
      <c r="L196"/>
      <c r="M196"/>
      <c r="N196"/>
      <c r="O196"/>
      <c r="P196"/>
    </row>
    <row r="197" spans="1:16" x14ac:dyDescent="0.25">
      <c r="A197" s="109"/>
      <c r="B197" s="109"/>
      <c r="C197" s="109"/>
      <c r="D197" s="109"/>
      <c r="E197" s="109"/>
      <c r="F197" s="109"/>
      <c r="G197"/>
      <c r="H197"/>
      <c r="J197" s="219"/>
      <c r="K197"/>
      <c r="L197"/>
      <c r="M197"/>
      <c r="N197"/>
      <c r="O197"/>
      <c r="P197"/>
    </row>
    <row r="198" spans="1:16" x14ac:dyDescent="0.25">
      <c r="A198" s="109"/>
      <c r="B198" s="109"/>
      <c r="C198" s="109"/>
      <c r="D198" s="109"/>
      <c r="E198" s="109"/>
      <c r="F198" s="109"/>
      <c r="G198"/>
      <c r="H198"/>
      <c r="J198" s="1"/>
      <c r="K198"/>
      <c r="L198"/>
      <c r="M198"/>
      <c r="N198"/>
      <c r="O198"/>
      <c r="P198"/>
    </row>
    <row r="199" spans="1:16" x14ac:dyDescent="0.25">
      <c r="A199" s="109"/>
      <c r="B199" s="109"/>
      <c r="C199" s="109"/>
      <c r="D199" s="109"/>
      <c r="E199" s="109"/>
      <c r="F199" s="109"/>
      <c r="G199"/>
      <c r="H199"/>
      <c r="J199" s="1"/>
      <c r="K199"/>
      <c r="L199"/>
      <c r="M199"/>
      <c r="N199"/>
      <c r="O199" t="s">
        <v>874</v>
      </c>
      <c r="P199"/>
    </row>
    <row r="200" spans="1:16" x14ac:dyDescent="0.25">
      <c r="A200" s="109"/>
      <c r="B200" s="109"/>
      <c r="C200" s="109"/>
      <c r="D200" s="109"/>
      <c r="E200" s="109"/>
      <c r="F200" s="109"/>
      <c r="G200"/>
      <c r="H200"/>
      <c r="J200" s="1"/>
      <c r="K200"/>
      <c r="L200"/>
      <c r="M200"/>
      <c r="N200"/>
      <c r="O200"/>
      <c r="P200"/>
    </row>
    <row r="201" spans="1:16" x14ac:dyDescent="0.25">
      <c r="A201" s="109"/>
      <c r="B201" s="109"/>
      <c r="C201" s="109"/>
      <c r="D201" s="109"/>
      <c r="E201" s="109"/>
      <c r="F201" s="109"/>
      <c r="G201"/>
      <c r="H201"/>
      <c r="J201" s="5"/>
      <c r="K201"/>
      <c r="L201"/>
      <c r="M201"/>
      <c r="N201"/>
      <c r="O201"/>
      <c r="P201"/>
    </row>
    <row r="202" spans="1:16" x14ac:dyDescent="0.25">
      <c r="A202" s="109"/>
      <c r="B202" s="109"/>
      <c r="C202" s="109"/>
      <c r="D202" s="109"/>
      <c r="E202" s="109"/>
      <c r="F202" s="109"/>
      <c r="G202"/>
      <c r="H202"/>
      <c r="J202" s="5"/>
      <c r="K202"/>
      <c r="L202"/>
      <c r="M202"/>
      <c r="N202"/>
      <c r="O202"/>
      <c r="P202"/>
    </row>
    <row r="203" spans="1:16" x14ac:dyDescent="0.25">
      <c r="A203" s="109"/>
      <c r="B203" s="109"/>
      <c r="C203" s="109"/>
      <c r="D203" s="109"/>
      <c r="E203" s="109"/>
      <c r="F203" s="109"/>
      <c r="G203"/>
      <c r="H203"/>
      <c r="J203" s="5"/>
      <c r="K203"/>
      <c r="L203"/>
      <c r="M203"/>
      <c r="N203"/>
      <c r="O203"/>
      <c r="P203"/>
    </row>
    <row r="204" spans="1:16" x14ac:dyDescent="0.25">
      <c r="A204" s="109"/>
      <c r="B204" s="109"/>
      <c r="C204" s="109"/>
      <c r="D204" s="109"/>
      <c r="E204" s="109"/>
      <c r="F204" s="109"/>
      <c r="G204"/>
      <c r="H204"/>
      <c r="J204" s="1"/>
      <c r="K204"/>
      <c r="L204"/>
      <c r="M204"/>
      <c r="N204"/>
      <c r="O204" t="s">
        <v>874</v>
      </c>
      <c r="P204"/>
    </row>
    <row r="205" spans="1:16" x14ac:dyDescent="0.25">
      <c r="A205" s="109"/>
      <c r="B205" s="109"/>
      <c r="C205" s="109"/>
      <c r="D205" s="109"/>
      <c r="E205" s="109"/>
      <c r="F205" s="109"/>
      <c r="G205"/>
      <c r="H205"/>
      <c r="J205" s="1"/>
      <c r="K205"/>
      <c r="L205"/>
      <c r="M205"/>
      <c r="N205"/>
      <c r="O205" t="s">
        <v>874</v>
      </c>
      <c r="P205"/>
    </row>
    <row r="206" spans="1:16" x14ac:dyDescent="0.25">
      <c r="A206" s="109"/>
      <c r="B206" s="109"/>
      <c r="C206" s="109"/>
      <c r="D206" s="109"/>
      <c r="E206" s="109"/>
      <c r="F206" s="109"/>
      <c r="G206"/>
      <c r="H206"/>
      <c r="J206" s="5"/>
      <c r="K206"/>
      <c r="L206"/>
      <c r="M206"/>
      <c r="N206"/>
      <c r="O206" t="s">
        <v>874</v>
      </c>
      <c r="P206"/>
    </row>
    <row r="207" spans="1:16" x14ac:dyDescent="0.25">
      <c r="A207" s="109"/>
      <c r="B207" s="109"/>
      <c r="C207" s="109"/>
      <c r="D207" s="109"/>
      <c r="E207" s="109"/>
      <c r="F207" s="109"/>
      <c r="G207"/>
      <c r="H207"/>
      <c r="J207" s="5"/>
      <c r="K207"/>
      <c r="L207"/>
      <c r="M207"/>
      <c r="N207"/>
      <c r="O207"/>
      <c r="P207"/>
    </row>
    <row r="208" spans="1:16" x14ac:dyDescent="0.25">
      <c r="A208" s="109"/>
      <c r="B208" s="109"/>
      <c r="C208" s="109"/>
      <c r="D208" s="109"/>
      <c r="E208" s="109"/>
      <c r="F208" s="109"/>
      <c r="G208"/>
      <c r="H208"/>
      <c r="J208" s="5"/>
      <c r="K208"/>
      <c r="L208"/>
      <c r="M208"/>
      <c r="N208"/>
      <c r="O208" t="s">
        <v>874</v>
      </c>
      <c r="P208"/>
    </row>
    <row r="209" spans="1:16" x14ac:dyDescent="0.25">
      <c r="A209" s="109"/>
      <c r="B209" s="109"/>
      <c r="C209" s="109"/>
      <c r="D209" s="109"/>
      <c r="E209" s="109"/>
      <c r="F209" s="109"/>
      <c r="G209"/>
      <c r="H209"/>
      <c r="J209" s="5"/>
      <c r="K209"/>
      <c r="L209"/>
      <c r="M209"/>
      <c r="N209"/>
      <c r="O209" t="s">
        <v>874</v>
      </c>
      <c r="P209"/>
    </row>
    <row r="210" spans="1:16" x14ac:dyDescent="0.25">
      <c r="A210" s="109"/>
      <c r="B210" s="109"/>
      <c r="C210" s="109"/>
      <c r="D210" s="109"/>
      <c r="E210" s="109"/>
      <c r="F210" s="109"/>
      <c r="G210"/>
      <c r="H210"/>
      <c r="J210" s="1"/>
      <c r="K210"/>
      <c r="L210"/>
      <c r="M210"/>
      <c r="N210"/>
      <c r="O210" t="s">
        <v>874</v>
      </c>
      <c r="P210"/>
    </row>
    <row r="211" spans="1:16" x14ac:dyDescent="0.25">
      <c r="A211" s="109"/>
      <c r="B211" s="109"/>
      <c r="C211" s="109"/>
      <c r="D211" s="109"/>
      <c r="E211" s="109"/>
      <c r="F211" s="109"/>
      <c r="G211"/>
      <c r="H211"/>
      <c r="J211" s="1"/>
      <c r="K211"/>
      <c r="L211"/>
      <c r="M211"/>
      <c r="N211"/>
      <c r="O211" t="s">
        <v>874</v>
      </c>
      <c r="P211"/>
    </row>
    <row r="212" spans="1:16" x14ac:dyDescent="0.25">
      <c r="A212" s="109"/>
      <c r="B212" s="109"/>
      <c r="C212" s="109"/>
      <c r="D212" s="109"/>
      <c r="E212" s="109"/>
      <c r="F212" s="109"/>
      <c r="G212"/>
      <c r="H212"/>
      <c r="J212" s="1"/>
      <c r="K212"/>
      <c r="L212"/>
      <c r="M212"/>
      <c r="N212"/>
      <c r="O212" t="s">
        <v>874</v>
      </c>
      <c r="P212"/>
    </row>
    <row r="213" spans="1:16" x14ac:dyDescent="0.25">
      <c r="A213" s="109"/>
      <c r="B213" s="109"/>
      <c r="C213" s="109"/>
      <c r="D213" s="109"/>
      <c r="E213" s="109"/>
      <c r="F213" s="109"/>
      <c r="G213"/>
      <c r="H213"/>
      <c r="J213" s="5"/>
      <c r="K213"/>
      <c r="L213"/>
      <c r="M213"/>
      <c r="N213"/>
      <c r="O213" t="s">
        <v>874</v>
      </c>
      <c r="P213"/>
    </row>
    <row r="214" spans="1:16" x14ac:dyDescent="0.25">
      <c r="A214" s="109"/>
      <c r="B214" s="109"/>
      <c r="C214" s="109"/>
      <c r="D214" s="109"/>
      <c r="E214" s="109"/>
      <c r="F214" s="109"/>
      <c r="G214"/>
      <c r="H214"/>
      <c r="J214" s="5"/>
      <c r="K214"/>
      <c r="L214"/>
      <c r="M214"/>
      <c r="N214"/>
      <c r="O214"/>
      <c r="P214"/>
    </row>
    <row r="215" spans="1:16" x14ac:dyDescent="0.25">
      <c r="A215" s="109"/>
      <c r="B215" s="109"/>
      <c r="C215" s="109"/>
      <c r="D215" s="109"/>
      <c r="E215" s="109"/>
      <c r="F215" s="109"/>
      <c r="G215"/>
      <c r="H215"/>
      <c r="J215" s="5"/>
      <c r="K215"/>
      <c r="L215"/>
      <c r="M215"/>
      <c r="N215"/>
      <c r="O215" t="s">
        <v>874</v>
      </c>
      <c r="P215"/>
    </row>
    <row r="216" spans="1:16" x14ac:dyDescent="0.25">
      <c r="A216" s="109"/>
      <c r="B216" s="109"/>
      <c r="C216" s="109"/>
      <c r="D216" s="109"/>
      <c r="E216" s="109"/>
      <c r="F216" s="109"/>
      <c r="G216"/>
      <c r="H216"/>
      <c r="J216" s="5"/>
      <c r="K216"/>
      <c r="L216"/>
      <c r="M216"/>
      <c r="N216"/>
      <c r="O216" t="s">
        <v>874</v>
      </c>
      <c r="P216"/>
    </row>
    <row r="217" spans="1:16" x14ac:dyDescent="0.25">
      <c r="A217" s="109"/>
      <c r="B217" s="109"/>
      <c r="C217" s="109"/>
      <c r="D217" s="109"/>
      <c r="E217" s="109"/>
      <c r="F217" s="109"/>
      <c r="G217"/>
      <c r="H217"/>
      <c r="J217" s="1"/>
      <c r="K217"/>
      <c r="L217"/>
      <c r="M217"/>
      <c r="N217"/>
      <c r="O217" t="s">
        <v>874</v>
      </c>
      <c r="P217"/>
    </row>
    <row r="218" spans="1:16" x14ac:dyDescent="0.25">
      <c r="A218" s="109"/>
      <c r="B218" s="109"/>
      <c r="C218" s="109"/>
      <c r="D218" s="109"/>
      <c r="E218" s="109"/>
      <c r="F218" s="109"/>
      <c r="G218"/>
      <c r="H218"/>
      <c r="J218" s="5"/>
      <c r="K218"/>
      <c r="L218"/>
      <c r="M218"/>
      <c r="N218"/>
      <c r="O218" t="s">
        <v>874</v>
      </c>
      <c r="P218"/>
    </row>
    <row r="219" spans="1:16" x14ac:dyDescent="0.25">
      <c r="A219" s="109"/>
      <c r="B219" s="109"/>
      <c r="C219" s="109"/>
      <c r="D219" s="109"/>
      <c r="E219" s="109"/>
      <c r="F219" s="109"/>
      <c r="G219"/>
      <c r="H219"/>
      <c r="J219" s="219"/>
      <c r="K219"/>
      <c r="L219"/>
      <c r="M219"/>
      <c r="N219"/>
      <c r="O219" t="s">
        <v>874</v>
      </c>
      <c r="P219"/>
    </row>
    <row r="220" spans="1:16" x14ac:dyDescent="0.25">
      <c r="A220" s="109"/>
      <c r="B220" s="109"/>
      <c r="C220" s="109"/>
      <c r="D220" s="109"/>
      <c r="E220" s="109"/>
      <c r="F220" s="109"/>
      <c r="G220"/>
      <c r="H220"/>
      <c r="J220" s="1"/>
      <c r="K220"/>
      <c r="L220"/>
      <c r="M220"/>
      <c r="N220"/>
      <c r="O220" t="s">
        <v>874</v>
      </c>
      <c r="P220" t="s">
        <v>355</v>
      </c>
    </row>
    <row r="221" spans="1:16" x14ac:dyDescent="0.25">
      <c r="A221" s="109"/>
      <c r="B221" s="109"/>
      <c r="C221" s="109"/>
      <c r="D221" s="109"/>
      <c r="E221" s="109"/>
      <c r="F221" s="109"/>
      <c r="G221"/>
      <c r="H221"/>
      <c r="J221" s="1"/>
      <c r="K221"/>
      <c r="L221"/>
      <c r="M221"/>
      <c r="N221"/>
      <c r="O221"/>
      <c r="P221"/>
    </row>
    <row r="222" spans="1:16" x14ac:dyDescent="0.25">
      <c r="A222" s="109"/>
      <c r="B222" s="109"/>
      <c r="C222" s="109"/>
      <c r="D222" s="109"/>
      <c r="E222" s="109"/>
      <c r="F222" s="109"/>
      <c r="G222"/>
      <c r="H222"/>
      <c r="J222" s="1"/>
      <c r="K222"/>
      <c r="L222"/>
      <c r="M222"/>
      <c r="N222"/>
      <c r="O222" t="s">
        <v>874</v>
      </c>
      <c r="P222"/>
    </row>
    <row r="223" spans="1:16" x14ac:dyDescent="0.25">
      <c r="A223" s="109"/>
      <c r="B223" s="109"/>
      <c r="C223" s="109"/>
      <c r="D223" s="109"/>
      <c r="E223" s="109"/>
      <c r="F223" s="109"/>
      <c r="G223"/>
      <c r="H223"/>
      <c r="J223" s="1"/>
      <c r="K223"/>
      <c r="L223"/>
      <c r="M223"/>
      <c r="N223"/>
      <c r="O223"/>
      <c r="P223"/>
    </row>
    <row r="224" spans="1:16" x14ac:dyDescent="0.25">
      <c r="A224" s="109"/>
      <c r="B224" s="109"/>
      <c r="C224" s="109"/>
      <c r="D224" s="109"/>
      <c r="E224" s="109"/>
      <c r="F224" s="109"/>
      <c r="G224"/>
      <c r="H224"/>
      <c r="J224" s="1"/>
      <c r="K224"/>
      <c r="L224"/>
      <c r="M224"/>
      <c r="N224"/>
      <c r="O224" t="s">
        <v>874</v>
      </c>
      <c r="P224"/>
    </row>
    <row r="225" spans="1:16" x14ac:dyDescent="0.25">
      <c r="A225" s="109"/>
      <c r="B225" s="109"/>
      <c r="C225" s="109"/>
      <c r="D225" s="109"/>
      <c r="E225" s="109"/>
      <c r="F225" s="109"/>
      <c r="G225"/>
      <c r="H225"/>
      <c r="J225" s="1"/>
      <c r="K225"/>
      <c r="L225"/>
      <c r="M225"/>
      <c r="N225"/>
      <c r="O225"/>
      <c r="P225"/>
    </row>
    <row r="226" spans="1:16" x14ac:dyDescent="0.25">
      <c r="A226" s="109"/>
      <c r="B226" s="109"/>
      <c r="C226" s="109"/>
      <c r="D226" s="109"/>
      <c r="E226" s="109"/>
      <c r="F226" s="109"/>
      <c r="G226"/>
      <c r="H226"/>
      <c r="J226" s="1"/>
      <c r="K226"/>
      <c r="L226"/>
      <c r="M226"/>
      <c r="N226"/>
      <c r="O226" t="s">
        <v>874</v>
      </c>
      <c r="P226"/>
    </row>
    <row r="227" spans="1:16" x14ac:dyDescent="0.25">
      <c r="A227" s="109"/>
      <c r="B227" s="109"/>
      <c r="C227" s="109"/>
      <c r="D227" s="109"/>
      <c r="E227" s="109"/>
      <c r="F227" s="109"/>
      <c r="G227"/>
      <c r="H227"/>
      <c r="J227" s="1"/>
      <c r="K227"/>
      <c r="L227"/>
      <c r="M227"/>
      <c r="N227"/>
      <c r="O227" t="s">
        <v>874</v>
      </c>
      <c r="P227"/>
    </row>
    <row r="228" spans="1:16" x14ac:dyDescent="0.25">
      <c r="A228" s="109"/>
      <c r="B228" s="109"/>
      <c r="C228" s="109"/>
      <c r="D228" s="109"/>
      <c r="E228" s="109"/>
      <c r="F228" s="109"/>
      <c r="G228"/>
      <c r="H228"/>
      <c r="J228" s="5"/>
      <c r="K228"/>
      <c r="L228"/>
      <c r="M228"/>
      <c r="N228"/>
      <c r="O228" t="s">
        <v>874</v>
      </c>
      <c r="P228"/>
    </row>
    <row r="229" spans="1:16" x14ac:dyDescent="0.25">
      <c r="A229" s="109"/>
      <c r="B229" s="109"/>
      <c r="C229" s="109"/>
      <c r="D229" s="109"/>
      <c r="E229" s="109"/>
      <c r="F229" s="109"/>
      <c r="G229"/>
      <c r="H229"/>
      <c r="J229" s="5"/>
      <c r="K229"/>
      <c r="L229"/>
      <c r="M229"/>
      <c r="N229"/>
      <c r="O229" t="s">
        <v>874</v>
      </c>
      <c r="P229"/>
    </row>
    <row r="230" spans="1:16" x14ac:dyDescent="0.25">
      <c r="A230" s="109"/>
      <c r="B230" s="109"/>
      <c r="C230" s="109"/>
      <c r="D230" s="109"/>
      <c r="E230" s="109"/>
      <c r="F230" s="109"/>
      <c r="G230"/>
      <c r="H230"/>
      <c r="J230" s="219"/>
      <c r="K230"/>
      <c r="L230"/>
      <c r="M230"/>
      <c r="N230"/>
      <c r="O230" t="s">
        <v>874</v>
      </c>
      <c r="P230"/>
    </row>
    <row r="231" spans="1:16" x14ac:dyDescent="0.25">
      <c r="A231" s="109"/>
      <c r="B231" s="109"/>
      <c r="C231" s="109"/>
      <c r="D231" s="109"/>
      <c r="E231" s="109"/>
      <c r="F231" s="109"/>
      <c r="G231"/>
      <c r="H231"/>
      <c r="J231" s="5"/>
      <c r="K231"/>
      <c r="L231"/>
      <c r="M231"/>
      <c r="N231"/>
      <c r="O231" t="s">
        <v>874</v>
      </c>
      <c r="P231"/>
    </row>
    <row r="232" spans="1:16" x14ac:dyDescent="0.25">
      <c r="A232" s="109"/>
      <c r="B232" s="109"/>
      <c r="C232" s="109"/>
      <c r="D232" s="109"/>
      <c r="E232" s="109"/>
      <c r="F232" s="109"/>
      <c r="G232"/>
      <c r="H232"/>
      <c r="J232" s="5"/>
      <c r="K232"/>
      <c r="L232"/>
      <c r="M232"/>
      <c r="N232"/>
      <c r="O232"/>
      <c r="P232"/>
    </row>
    <row r="233" spans="1:16" x14ac:dyDescent="0.25">
      <c r="A233" s="109"/>
      <c r="B233" s="109"/>
      <c r="C233" s="109"/>
      <c r="D233" s="109"/>
      <c r="E233" s="109"/>
      <c r="F233" s="109"/>
      <c r="G233"/>
      <c r="H233"/>
      <c r="J233" s="1"/>
      <c r="K233"/>
      <c r="L233"/>
      <c r="M233"/>
      <c r="N233"/>
      <c r="O233"/>
      <c r="P233"/>
    </row>
    <row r="234" spans="1:16" x14ac:dyDescent="0.25">
      <c r="A234" s="109"/>
      <c r="B234" s="109"/>
      <c r="C234" s="109"/>
      <c r="D234" s="109"/>
      <c r="E234" s="109"/>
      <c r="F234" s="109"/>
      <c r="G234"/>
      <c r="H234"/>
      <c r="J234" s="1"/>
      <c r="K234"/>
      <c r="L234"/>
      <c r="M234"/>
      <c r="N234"/>
      <c r="O234" t="s">
        <v>874</v>
      </c>
      <c r="P234"/>
    </row>
    <row r="235" spans="1:16" x14ac:dyDescent="0.25">
      <c r="A235" s="109"/>
      <c r="B235" s="109"/>
      <c r="C235" s="109"/>
      <c r="D235" s="109"/>
      <c r="E235" s="109"/>
      <c r="F235" s="109"/>
      <c r="G235"/>
      <c r="H235"/>
      <c r="J235" s="1"/>
      <c r="K235"/>
      <c r="L235"/>
      <c r="M235"/>
      <c r="N235"/>
      <c r="O235" t="s">
        <v>874</v>
      </c>
      <c r="P235"/>
    </row>
    <row r="236" spans="1:16" x14ac:dyDescent="0.25">
      <c r="A236" s="109"/>
      <c r="B236" s="109"/>
      <c r="C236" s="109"/>
      <c r="D236" s="109"/>
      <c r="E236" s="109"/>
      <c r="F236" s="109"/>
      <c r="G236"/>
      <c r="H236"/>
      <c r="J236" s="1"/>
      <c r="K236"/>
      <c r="L236"/>
      <c r="M236"/>
      <c r="N236"/>
      <c r="O236" t="s">
        <v>874</v>
      </c>
      <c r="P236"/>
    </row>
    <row r="237" spans="1:16" x14ac:dyDescent="0.25">
      <c r="A237" s="109"/>
      <c r="B237" s="109"/>
      <c r="C237" s="109"/>
      <c r="D237" s="109"/>
      <c r="E237" s="109"/>
      <c r="F237" s="109"/>
      <c r="G237"/>
      <c r="H237"/>
      <c r="J237" s="1"/>
      <c r="K237"/>
      <c r="L237"/>
      <c r="M237"/>
      <c r="N237"/>
      <c r="O237" t="s">
        <v>874</v>
      </c>
      <c r="P237"/>
    </row>
    <row r="238" spans="1:16" x14ac:dyDescent="0.25">
      <c r="A238" s="109"/>
      <c r="B238" s="109"/>
      <c r="C238" s="109"/>
      <c r="D238" s="109"/>
      <c r="E238" s="109"/>
      <c r="F238" s="109"/>
      <c r="G238"/>
      <c r="H238"/>
      <c r="J238" s="1"/>
      <c r="K238"/>
      <c r="L238"/>
      <c r="M238"/>
      <c r="N238"/>
      <c r="O238"/>
      <c r="P238"/>
    </row>
    <row r="239" spans="1:16" x14ac:dyDescent="0.25">
      <c r="A239" s="109"/>
      <c r="B239" s="109"/>
      <c r="C239" s="109"/>
      <c r="D239" s="109"/>
      <c r="E239" s="109"/>
      <c r="F239" s="109"/>
      <c r="G239"/>
      <c r="H239"/>
      <c r="J239" s="1"/>
      <c r="K239"/>
      <c r="L239"/>
      <c r="M239"/>
      <c r="N239"/>
      <c r="O239" t="s">
        <v>874</v>
      </c>
      <c r="P239"/>
    </row>
    <row r="240" spans="1:16" x14ac:dyDescent="0.25">
      <c r="A240" s="109"/>
      <c r="B240" s="109"/>
      <c r="C240" s="109"/>
      <c r="D240" s="109"/>
      <c r="E240" s="109"/>
      <c r="F240" s="109"/>
      <c r="G240"/>
      <c r="H240"/>
      <c r="J240" s="5"/>
      <c r="K240"/>
      <c r="L240"/>
      <c r="M240"/>
      <c r="N240"/>
      <c r="O240" t="s">
        <v>874</v>
      </c>
      <c r="P240"/>
    </row>
    <row r="241" spans="1:16" x14ac:dyDescent="0.25">
      <c r="A241" s="109"/>
      <c r="B241" s="109"/>
      <c r="C241" s="109"/>
      <c r="D241" s="109"/>
      <c r="E241" s="109"/>
      <c r="F241" s="109"/>
      <c r="G241"/>
      <c r="H241"/>
      <c r="J241" s="1"/>
      <c r="K241"/>
      <c r="L241"/>
      <c r="M241"/>
      <c r="N241"/>
      <c r="O241"/>
      <c r="P241"/>
    </row>
    <row r="242" spans="1:16" x14ac:dyDescent="0.25">
      <c r="A242" s="109"/>
      <c r="B242" s="109"/>
      <c r="C242" s="109"/>
      <c r="D242" s="109"/>
      <c r="E242" s="109"/>
      <c r="F242" s="109"/>
      <c r="G242"/>
      <c r="H242"/>
      <c r="J242" s="5"/>
      <c r="K242"/>
      <c r="L242"/>
      <c r="M242"/>
      <c r="N242"/>
      <c r="O242"/>
      <c r="P242"/>
    </row>
    <row r="243" spans="1:16" x14ac:dyDescent="0.25">
      <c r="A243" s="109"/>
      <c r="B243" s="109"/>
      <c r="C243" s="109"/>
      <c r="D243" s="109"/>
      <c r="E243" s="109"/>
      <c r="F243" s="109"/>
      <c r="G243"/>
      <c r="H243"/>
      <c r="J243" s="218"/>
      <c r="K243"/>
      <c r="L243"/>
      <c r="M243"/>
      <c r="N243"/>
      <c r="O243" t="s">
        <v>874</v>
      </c>
      <c r="P243" t="s">
        <v>356</v>
      </c>
    </row>
    <row r="244" spans="1:16" x14ac:dyDescent="0.25">
      <c r="A244" s="109"/>
      <c r="B244" s="109"/>
      <c r="C244" s="109"/>
      <c r="D244" s="109"/>
      <c r="E244" s="109"/>
      <c r="F244" s="109"/>
      <c r="G244"/>
      <c r="H244"/>
      <c r="J244" s="5"/>
      <c r="K244"/>
      <c r="L244"/>
      <c r="M244"/>
      <c r="N244"/>
      <c r="O244"/>
      <c r="P244"/>
    </row>
    <row r="245" spans="1:16" x14ac:dyDescent="0.25">
      <c r="A245" s="109"/>
      <c r="B245" s="109"/>
      <c r="C245" s="109"/>
      <c r="D245" s="109"/>
      <c r="E245" s="109"/>
      <c r="F245" s="109"/>
      <c r="G245"/>
      <c r="H245"/>
      <c r="J245" s="5"/>
      <c r="K245"/>
      <c r="L245"/>
      <c r="M245"/>
      <c r="N245"/>
      <c r="O245"/>
      <c r="P245"/>
    </row>
    <row r="246" spans="1:16" x14ac:dyDescent="0.25">
      <c r="A246" s="109"/>
      <c r="B246" s="109"/>
      <c r="C246" s="109"/>
      <c r="D246" s="109"/>
      <c r="E246" s="109"/>
      <c r="F246" s="109"/>
      <c r="G246"/>
      <c r="H246"/>
      <c r="J246" s="1"/>
      <c r="K246"/>
      <c r="L246"/>
      <c r="M246"/>
      <c r="N246"/>
      <c r="O246" t="s">
        <v>874</v>
      </c>
      <c r="P246"/>
    </row>
    <row r="247" spans="1:16" x14ac:dyDescent="0.25">
      <c r="A247" s="109"/>
      <c r="B247" s="109"/>
      <c r="C247" s="109"/>
      <c r="D247" s="109"/>
      <c r="E247" s="109"/>
      <c r="F247" s="109"/>
      <c r="G247"/>
      <c r="H247"/>
      <c r="J247" s="1"/>
      <c r="K247"/>
      <c r="L247"/>
      <c r="M247"/>
      <c r="N247"/>
      <c r="O247" t="s">
        <v>874</v>
      </c>
      <c r="P247"/>
    </row>
    <row r="248" spans="1:16" x14ac:dyDescent="0.25">
      <c r="A248" s="109"/>
      <c r="B248" s="109"/>
      <c r="C248" s="109"/>
      <c r="D248" s="109"/>
      <c r="E248" s="109"/>
      <c r="F248" s="109"/>
      <c r="G248"/>
      <c r="H248"/>
      <c r="J248" s="1"/>
      <c r="K248"/>
      <c r="L248"/>
      <c r="M248"/>
      <c r="N248"/>
      <c r="O248" t="s">
        <v>874</v>
      </c>
      <c r="P248"/>
    </row>
    <row r="249" spans="1:16" x14ac:dyDescent="0.25">
      <c r="A249" s="109"/>
      <c r="B249" s="109"/>
      <c r="C249" s="109"/>
      <c r="D249" s="109"/>
      <c r="E249" s="109"/>
      <c r="F249" s="109"/>
      <c r="G249"/>
      <c r="H249"/>
      <c r="J249" s="1"/>
      <c r="K249"/>
      <c r="L249"/>
      <c r="M249"/>
      <c r="N249"/>
      <c r="O249" t="s">
        <v>874</v>
      </c>
      <c r="P249"/>
    </row>
  </sheetData>
  <autoFilter ref="A1:CU132" xr:uid="{00000000-0009-0000-0000-000005000000}">
    <sortState xmlns:xlrd2="http://schemas.microsoft.com/office/spreadsheetml/2017/richdata2" ref="A2:CU133">
      <sortCondition ref="G1:G132"/>
    </sortState>
  </autoFilter>
  <phoneticPr fontId="6" type="noConversion"/>
  <conditionalFormatting sqref="A2:F25 A27:F249">
    <cfRule type="cellIs" dxfId="2" priority="2" stopIfTrue="1" operator="equal">
      <formula>"x"</formula>
    </cfRule>
  </conditionalFormatting>
  <conditionalFormatting sqref="A26:F26">
    <cfRule type="cellIs" dxfId="1" priority="1" stopIfTrue="1" operator="equal">
      <formula>"x"</formula>
    </cfRule>
  </conditionalFormatting>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Munka3">
    <tabColor indexed="50"/>
  </sheetPr>
  <dimension ref="A1:Y131"/>
  <sheetViews>
    <sheetView zoomScale="85" workbookViewId="0">
      <pane ySplit="1" topLeftCell="A2" activePane="bottomLeft" state="frozen"/>
      <selection pane="bottomLeft" activeCell="H106" sqref="H106"/>
    </sheetView>
  </sheetViews>
  <sheetFormatPr defaultColWidth="9.140625" defaultRowHeight="15" x14ac:dyDescent="0.25"/>
  <cols>
    <col min="1" max="2" width="9.140625" style="6"/>
    <col min="3" max="3" width="12.42578125" style="6" bestFit="1" customWidth="1"/>
    <col min="4" max="4" width="9.140625" style="6"/>
    <col min="5" max="5" width="11.5703125" style="6" customWidth="1"/>
    <col min="6" max="6" width="15.140625" style="6" customWidth="1"/>
    <col min="7" max="7" width="9.140625" style="6"/>
    <col min="8" max="8" width="25.28515625" style="6" bestFit="1" customWidth="1"/>
    <col min="9" max="9" width="36.28515625" style="4" customWidth="1"/>
    <col min="10" max="10" width="47.85546875" style="4" customWidth="1"/>
    <col min="11" max="11" width="17.140625" style="4" customWidth="1"/>
    <col min="12" max="12" width="37.140625" style="6" customWidth="1"/>
    <col min="13" max="13" width="9.140625" style="6"/>
    <col min="14" max="14" width="30.5703125" style="6" bestFit="1" customWidth="1"/>
    <col min="15" max="16384" width="9.140625" style="6"/>
  </cols>
  <sheetData>
    <row r="1" spans="1:25" s="2" customFormat="1" ht="21" customHeight="1" x14ac:dyDescent="0.25">
      <c r="A1" s="229" t="s">
        <v>864</v>
      </c>
      <c r="B1" s="229" t="s">
        <v>865</v>
      </c>
      <c r="C1" s="229" t="s">
        <v>866</v>
      </c>
      <c r="D1" s="229" t="s">
        <v>867</v>
      </c>
      <c r="E1" s="229" t="s">
        <v>868</v>
      </c>
      <c r="F1" s="229" t="s">
        <v>875</v>
      </c>
      <c r="G1" s="229" t="s">
        <v>1213</v>
      </c>
      <c r="H1" s="229" t="s">
        <v>412</v>
      </c>
      <c r="I1" s="229" t="s">
        <v>871</v>
      </c>
      <c r="J1" s="229" t="s">
        <v>870</v>
      </c>
      <c r="K1" s="229" t="s">
        <v>872</v>
      </c>
      <c r="L1" s="229" t="s">
        <v>1693</v>
      </c>
      <c r="M1" s="110" t="s">
        <v>889</v>
      </c>
      <c r="N1" s="229" t="s">
        <v>2041</v>
      </c>
    </row>
    <row r="2" spans="1:25" ht="60" x14ac:dyDescent="0.25">
      <c r="A2" s="12"/>
      <c r="B2" s="12"/>
      <c r="C2" s="12"/>
      <c r="D2" s="12" t="s">
        <v>874</v>
      </c>
      <c r="E2" s="12"/>
      <c r="F2" s="12"/>
      <c r="G2" s="10">
        <v>1</v>
      </c>
      <c r="H2" s="10" t="s">
        <v>414</v>
      </c>
      <c r="I2" s="1" t="s">
        <v>72</v>
      </c>
      <c r="J2" s="4" t="s">
        <v>540</v>
      </c>
      <c r="N2" s="214" t="s">
        <v>874</v>
      </c>
      <c r="O2" s="4"/>
      <c r="P2" s="4"/>
      <c r="Q2" s="4"/>
      <c r="R2" s="4"/>
      <c r="S2" s="4"/>
      <c r="T2" s="4"/>
      <c r="U2" s="4"/>
      <c r="V2" s="4"/>
      <c r="W2" s="4"/>
      <c r="X2" s="4"/>
      <c r="Y2" s="4"/>
    </row>
    <row r="3" spans="1:25" ht="60" x14ac:dyDescent="0.25">
      <c r="A3" s="12"/>
      <c r="B3" s="12"/>
      <c r="C3" s="12" t="s">
        <v>874</v>
      </c>
      <c r="D3" s="12"/>
      <c r="E3" s="12"/>
      <c r="F3" s="12"/>
      <c r="G3" s="10">
        <v>1</v>
      </c>
      <c r="H3" s="10" t="s">
        <v>416</v>
      </c>
      <c r="I3" s="5" t="s">
        <v>1373</v>
      </c>
      <c r="J3" s="4" t="s">
        <v>1631</v>
      </c>
      <c r="N3" s="4"/>
      <c r="O3" s="4"/>
      <c r="P3" s="4"/>
      <c r="Q3" s="4"/>
      <c r="R3" s="4"/>
      <c r="S3" s="4"/>
      <c r="T3" s="4"/>
      <c r="U3" s="4"/>
      <c r="V3" s="4"/>
      <c r="W3" s="4"/>
      <c r="X3" s="4"/>
      <c r="Y3" s="4"/>
    </row>
    <row r="4" spans="1:25" ht="30" x14ac:dyDescent="0.25">
      <c r="A4" s="12"/>
      <c r="B4" s="12" t="s">
        <v>874</v>
      </c>
      <c r="C4" s="12"/>
      <c r="D4" s="12"/>
      <c r="E4" s="12"/>
      <c r="F4" s="12" t="s">
        <v>874</v>
      </c>
      <c r="G4" s="10">
        <v>1</v>
      </c>
      <c r="H4" s="10" t="s">
        <v>1951</v>
      </c>
      <c r="I4" s="7" t="s">
        <v>1897</v>
      </c>
      <c r="J4" s="1" t="s">
        <v>1168</v>
      </c>
      <c r="K4" s="2" t="s">
        <v>1387</v>
      </c>
      <c r="N4" s="4"/>
      <c r="O4" s="4"/>
      <c r="P4" s="4"/>
      <c r="Q4" s="4"/>
      <c r="R4" s="4"/>
      <c r="S4" s="4"/>
      <c r="T4" s="4"/>
      <c r="U4" s="4"/>
      <c r="V4" s="4"/>
      <c r="W4" s="4"/>
      <c r="X4" s="4"/>
      <c r="Y4" s="4"/>
    </row>
    <row r="5" spans="1:25" x14ac:dyDescent="0.25">
      <c r="A5" s="9" t="s">
        <v>874</v>
      </c>
      <c r="B5" s="9" t="s">
        <v>874</v>
      </c>
      <c r="C5" s="9"/>
      <c r="D5" s="9"/>
      <c r="E5" s="9"/>
      <c r="F5" s="9"/>
      <c r="G5" s="11">
        <v>1</v>
      </c>
      <c r="H5" s="11" t="s">
        <v>1884</v>
      </c>
      <c r="I5" s="11" t="s">
        <v>1634</v>
      </c>
      <c r="J5" s="11" t="s">
        <v>1205</v>
      </c>
      <c r="K5" s="11" t="s">
        <v>1883</v>
      </c>
      <c r="L5" s="11"/>
      <c r="M5" s="11"/>
      <c r="N5" s="4"/>
      <c r="O5" s="4"/>
      <c r="P5" s="4"/>
      <c r="Q5" s="4"/>
      <c r="R5" s="4"/>
      <c r="S5" s="4"/>
      <c r="T5" s="4"/>
      <c r="U5" s="4"/>
      <c r="V5" s="4"/>
      <c r="W5" s="4"/>
      <c r="X5" s="4"/>
      <c r="Y5" s="4"/>
    </row>
    <row r="6" spans="1:25" ht="60" x14ac:dyDescent="0.25">
      <c r="A6" s="9"/>
      <c r="B6" s="9"/>
      <c r="C6" s="9" t="s">
        <v>874</v>
      </c>
      <c r="D6" s="9" t="s">
        <v>874</v>
      </c>
      <c r="E6" s="9" t="s">
        <v>874</v>
      </c>
      <c r="F6" s="9" t="s">
        <v>874</v>
      </c>
      <c r="G6" s="11">
        <v>1</v>
      </c>
      <c r="H6" s="11" t="s">
        <v>1830</v>
      </c>
      <c r="I6" s="1" t="s">
        <v>1829</v>
      </c>
      <c r="J6" s="186" t="s">
        <v>760</v>
      </c>
      <c r="L6" s="4"/>
      <c r="M6" s="4"/>
      <c r="N6" s="214" t="s">
        <v>874</v>
      </c>
      <c r="O6" s="4"/>
      <c r="P6" s="4"/>
      <c r="Q6" s="4"/>
      <c r="R6" s="4"/>
      <c r="S6" s="4"/>
      <c r="T6" s="4"/>
      <c r="U6" s="4"/>
      <c r="V6" s="4"/>
      <c r="W6" s="4"/>
      <c r="X6" s="4"/>
      <c r="Y6" s="4"/>
    </row>
    <row r="7" spans="1:25" ht="60" x14ac:dyDescent="0.25">
      <c r="A7" s="12" t="s">
        <v>874</v>
      </c>
      <c r="B7" s="12" t="s">
        <v>874</v>
      </c>
      <c r="C7" s="12"/>
      <c r="D7" s="12"/>
      <c r="E7" s="12"/>
      <c r="F7" s="12" t="s">
        <v>874</v>
      </c>
      <c r="G7" s="10">
        <v>1</v>
      </c>
      <c r="H7" s="10" t="s">
        <v>1171</v>
      </c>
      <c r="I7" s="1" t="s">
        <v>1635</v>
      </c>
      <c r="J7" s="4" t="s">
        <v>1636</v>
      </c>
      <c r="K7" s="4" t="s">
        <v>1172</v>
      </c>
      <c r="N7" s="4"/>
      <c r="O7" s="4"/>
      <c r="P7" s="4"/>
      <c r="Q7" s="4"/>
      <c r="R7" s="4"/>
      <c r="S7" s="4"/>
      <c r="T7" s="4"/>
      <c r="U7" s="4"/>
      <c r="V7" s="4"/>
      <c r="W7" s="4"/>
      <c r="X7" s="4"/>
      <c r="Y7" s="4"/>
    </row>
    <row r="8" spans="1:25" ht="60" x14ac:dyDescent="0.25">
      <c r="A8" s="12"/>
      <c r="B8" s="12" t="s">
        <v>874</v>
      </c>
      <c r="C8" s="12"/>
      <c r="D8" s="12"/>
      <c r="E8" s="12"/>
      <c r="F8" s="12"/>
      <c r="G8" s="10">
        <v>1</v>
      </c>
      <c r="H8" s="10" t="s">
        <v>1005</v>
      </c>
      <c r="I8" s="1" t="s">
        <v>1637</v>
      </c>
      <c r="J8" s="4" t="s">
        <v>1638</v>
      </c>
      <c r="K8" s="4" t="s">
        <v>1170</v>
      </c>
      <c r="N8" s="4"/>
      <c r="O8" s="4"/>
      <c r="P8" s="4"/>
      <c r="Q8" s="4"/>
      <c r="R8" s="4"/>
      <c r="S8" s="4"/>
      <c r="T8" s="4"/>
      <c r="U8" s="4"/>
      <c r="V8" s="4"/>
      <c r="W8" s="4"/>
      <c r="X8" s="4"/>
      <c r="Y8" s="4"/>
    </row>
    <row r="9" spans="1:25" ht="60" x14ac:dyDescent="0.25">
      <c r="A9" s="12" t="s">
        <v>874</v>
      </c>
      <c r="B9" s="12" t="s">
        <v>874</v>
      </c>
      <c r="C9" s="12"/>
      <c r="D9" s="12"/>
      <c r="E9" s="12"/>
      <c r="F9" s="12" t="s">
        <v>874</v>
      </c>
      <c r="G9" s="10">
        <v>1</v>
      </c>
      <c r="H9" s="10" t="s">
        <v>1173</v>
      </c>
      <c r="I9" s="1" t="s">
        <v>1639</v>
      </c>
      <c r="J9" s="4" t="s">
        <v>73</v>
      </c>
      <c r="K9" s="4" t="s">
        <v>1174</v>
      </c>
      <c r="N9" s="4"/>
      <c r="O9" s="4"/>
      <c r="P9" s="4"/>
      <c r="Q9" s="4"/>
      <c r="R9" s="4"/>
      <c r="S9" s="4"/>
      <c r="T9" s="4"/>
      <c r="U9" s="4"/>
      <c r="V9" s="4"/>
      <c r="W9" s="4"/>
      <c r="X9" s="4"/>
      <c r="Y9" s="4"/>
    </row>
    <row r="10" spans="1:25" ht="30" x14ac:dyDescent="0.25">
      <c r="A10" s="9" t="s">
        <v>874</v>
      </c>
      <c r="B10" s="9" t="s">
        <v>874</v>
      </c>
      <c r="C10" s="9"/>
      <c r="D10" s="9"/>
      <c r="E10" s="9"/>
      <c r="F10" s="9" t="s">
        <v>874</v>
      </c>
      <c r="G10" s="11">
        <v>1</v>
      </c>
      <c r="H10" s="11" t="s">
        <v>876</v>
      </c>
      <c r="I10" s="7" t="s">
        <v>1064</v>
      </c>
      <c r="J10" s="8" t="s">
        <v>877</v>
      </c>
      <c r="K10" s="8" t="s">
        <v>873</v>
      </c>
      <c r="L10" s="8"/>
      <c r="M10" s="8"/>
      <c r="N10" s="214" t="s">
        <v>874</v>
      </c>
      <c r="O10" s="4"/>
      <c r="P10" s="4"/>
      <c r="Q10" s="4"/>
      <c r="R10" s="4"/>
      <c r="S10" s="4"/>
      <c r="T10" s="4"/>
      <c r="U10" s="4"/>
      <c r="V10" s="4"/>
      <c r="W10" s="4"/>
      <c r="X10" s="4"/>
      <c r="Y10" s="4"/>
    </row>
    <row r="11" spans="1:25" ht="60" x14ac:dyDescent="0.25">
      <c r="A11" s="12" t="s">
        <v>874</v>
      </c>
      <c r="B11" s="12" t="s">
        <v>874</v>
      </c>
      <c r="C11" s="12"/>
      <c r="D11" s="12"/>
      <c r="E11" s="12"/>
      <c r="F11" s="12"/>
      <c r="G11" s="10">
        <v>1</v>
      </c>
      <c r="H11" s="10" t="s">
        <v>1183</v>
      </c>
      <c r="I11" s="1" t="s">
        <v>1898</v>
      </c>
      <c r="J11" s="1" t="s">
        <v>1191</v>
      </c>
      <c r="K11" s="207" t="s">
        <v>1184</v>
      </c>
      <c r="L11" s="77"/>
      <c r="M11" s="77"/>
      <c r="N11" s="4"/>
      <c r="O11" s="4"/>
      <c r="P11" s="4"/>
      <c r="Q11" s="4"/>
      <c r="R11" s="4"/>
      <c r="S11" s="4"/>
      <c r="T11" s="4"/>
      <c r="U11" s="4"/>
      <c r="V11" s="4"/>
      <c r="W11" s="4"/>
      <c r="X11" s="4"/>
      <c r="Y11" s="4"/>
    </row>
    <row r="12" spans="1:25" ht="105" x14ac:dyDescent="0.25">
      <c r="A12" s="9" t="s">
        <v>874</v>
      </c>
      <c r="B12" s="9" t="s">
        <v>874</v>
      </c>
      <c r="C12" s="9"/>
      <c r="D12" s="9"/>
      <c r="E12" s="9"/>
      <c r="F12" s="9" t="s">
        <v>874</v>
      </c>
      <c r="G12" s="11">
        <v>1</v>
      </c>
      <c r="H12" s="11" t="s">
        <v>1832</v>
      </c>
      <c r="I12" s="11" t="s">
        <v>1081</v>
      </c>
      <c r="J12" s="1" t="s">
        <v>1986</v>
      </c>
      <c r="K12" s="4" t="s">
        <v>1833</v>
      </c>
      <c r="L12" s="4"/>
      <c r="M12" s="4"/>
      <c r="N12" s="4"/>
      <c r="O12" s="4"/>
      <c r="P12" s="4"/>
      <c r="Q12" s="4"/>
      <c r="R12" s="4"/>
      <c r="S12" s="4"/>
      <c r="T12" s="4"/>
      <c r="U12" s="4"/>
      <c r="V12" s="4"/>
      <c r="W12" s="4"/>
      <c r="X12" s="4"/>
      <c r="Y12" s="4"/>
    </row>
    <row r="13" spans="1:25" ht="60" x14ac:dyDescent="0.25">
      <c r="A13" s="12" t="s">
        <v>874</v>
      </c>
      <c r="B13" s="12" t="s">
        <v>874</v>
      </c>
      <c r="C13" s="12"/>
      <c r="D13" s="12"/>
      <c r="E13" s="12"/>
      <c r="F13" s="12" t="s">
        <v>874</v>
      </c>
      <c r="G13" s="10">
        <v>1</v>
      </c>
      <c r="H13" s="10" t="s">
        <v>1175</v>
      </c>
      <c r="I13" s="1" t="s">
        <v>74</v>
      </c>
      <c r="J13" s="214" t="s">
        <v>1998</v>
      </c>
      <c r="M13" s="213" t="s">
        <v>887</v>
      </c>
      <c r="N13" s="4"/>
      <c r="O13" s="4"/>
      <c r="P13" s="4"/>
      <c r="Q13" s="4"/>
      <c r="R13" s="4"/>
      <c r="S13" s="4"/>
      <c r="T13" s="4"/>
      <c r="U13" s="4"/>
      <c r="V13" s="4"/>
      <c r="W13" s="4"/>
      <c r="X13" s="4"/>
      <c r="Y13" s="4"/>
    </row>
    <row r="14" spans="1:25" ht="90" x14ac:dyDescent="0.25">
      <c r="A14" s="12" t="s">
        <v>874</v>
      </c>
      <c r="B14" s="12" t="s">
        <v>874</v>
      </c>
      <c r="C14" s="12"/>
      <c r="D14" s="12"/>
      <c r="E14" s="12"/>
      <c r="F14" s="12" t="s">
        <v>874</v>
      </c>
      <c r="G14" s="10">
        <v>2</v>
      </c>
      <c r="H14" s="10" t="s">
        <v>1176</v>
      </c>
      <c r="I14" s="5" t="s">
        <v>75</v>
      </c>
      <c r="J14" s="4" t="s">
        <v>76</v>
      </c>
      <c r="K14" s="4" t="s">
        <v>471</v>
      </c>
      <c r="N14" s="4"/>
      <c r="O14" s="4"/>
      <c r="P14" s="4"/>
      <c r="Q14" s="4"/>
      <c r="R14" s="4"/>
      <c r="S14" s="4"/>
      <c r="T14" s="4"/>
      <c r="U14" s="4"/>
      <c r="V14" s="4"/>
      <c r="W14" s="4"/>
      <c r="X14" s="4"/>
      <c r="Y14" s="4"/>
    </row>
    <row r="15" spans="1:25" ht="30" x14ac:dyDescent="0.25">
      <c r="A15" s="12" t="s">
        <v>874</v>
      </c>
      <c r="B15" s="12" t="s">
        <v>874</v>
      </c>
      <c r="C15" s="12"/>
      <c r="D15" s="12"/>
      <c r="E15" s="12"/>
      <c r="F15" s="12"/>
      <c r="G15" s="10">
        <v>2</v>
      </c>
      <c r="H15" s="10" t="s">
        <v>472</v>
      </c>
      <c r="I15" s="1" t="s">
        <v>77</v>
      </c>
      <c r="J15" s="4" t="s">
        <v>78</v>
      </c>
      <c r="K15" s="4" t="s">
        <v>473</v>
      </c>
    </row>
    <row r="16" spans="1:25" ht="106.5" customHeight="1" x14ac:dyDescent="0.25">
      <c r="A16" s="12" t="s">
        <v>874</v>
      </c>
      <c r="B16" s="12" t="s">
        <v>874</v>
      </c>
      <c r="C16" s="12"/>
      <c r="D16" s="12"/>
      <c r="E16" s="12"/>
      <c r="F16" s="12" t="s">
        <v>874</v>
      </c>
      <c r="G16" s="10">
        <v>2</v>
      </c>
      <c r="H16" s="10" t="s">
        <v>474</v>
      </c>
      <c r="I16" s="5" t="s">
        <v>79</v>
      </c>
      <c r="J16" s="4" t="s">
        <v>80</v>
      </c>
      <c r="K16" s="4" t="s">
        <v>475</v>
      </c>
    </row>
    <row r="17" spans="1:13" ht="45" x14ac:dyDescent="0.25">
      <c r="A17" s="12"/>
      <c r="B17" s="12"/>
      <c r="C17" s="12"/>
      <c r="D17" s="12" t="s">
        <v>874</v>
      </c>
      <c r="E17" s="12"/>
      <c r="F17" s="12" t="s">
        <v>874</v>
      </c>
      <c r="G17" s="10">
        <v>2</v>
      </c>
      <c r="H17" s="10" t="s">
        <v>476</v>
      </c>
      <c r="I17" s="1" t="s">
        <v>81</v>
      </c>
      <c r="J17" s="4" t="s">
        <v>82</v>
      </c>
      <c r="K17" s="4" t="s">
        <v>83</v>
      </c>
    </row>
    <row r="18" spans="1:13" ht="105" x14ac:dyDescent="0.25">
      <c r="A18" s="9"/>
      <c r="B18" s="9" t="s">
        <v>874</v>
      </c>
      <c r="C18" s="9"/>
      <c r="D18" s="9"/>
      <c r="E18" s="9"/>
      <c r="F18" s="9" t="s">
        <v>874</v>
      </c>
      <c r="G18" s="11">
        <v>2</v>
      </c>
      <c r="H18" s="11" t="s">
        <v>774</v>
      </c>
      <c r="I18" s="11" t="s">
        <v>1065</v>
      </c>
      <c r="J18" s="185" t="s">
        <v>1728</v>
      </c>
      <c r="K18" s="11" t="s">
        <v>1218</v>
      </c>
      <c r="L18" s="11"/>
      <c r="M18" s="11"/>
    </row>
    <row r="19" spans="1:13" ht="75" x14ac:dyDescent="0.25">
      <c r="A19" s="12"/>
      <c r="B19" s="12"/>
      <c r="C19" s="12"/>
      <c r="D19" s="12" t="s">
        <v>874</v>
      </c>
      <c r="E19" s="12"/>
      <c r="F19" s="12"/>
      <c r="G19" s="10">
        <v>2</v>
      </c>
      <c r="H19" s="10" t="s">
        <v>477</v>
      </c>
      <c r="I19" s="1" t="s">
        <v>84</v>
      </c>
      <c r="J19" s="214" t="s">
        <v>1999</v>
      </c>
      <c r="K19" s="4" t="s">
        <v>592</v>
      </c>
      <c r="M19" s="213" t="s">
        <v>887</v>
      </c>
    </row>
    <row r="20" spans="1:13" ht="75" x14ac:dyDescent="0.25">
      <c r="A20" s="12" t="s">
        <v>874</v>
      </c>
      <c r="B20" s="12" t="s">
        <v>874</v>
      </c>
      <c r="C20" s="12"/>
      <c r="D20" s="12"/>
      <c r="E20" s="12"/>
      <c r="F20" s="12"/>
      <c r="G20" s="10">
        <v>2</v>
      </c>
      <c r="H20" s="10" t="s">
        <v>478</v>
      </c>
      <c r="I20" s="1" t="s">
        <v>227</v>
      </c>
      <c r="J20" s="4" t="s">
        <v>762</v>
      </c>
      <c r="K20" s="4" t="s">
        <v>479</v>
      </c>
    </row>
    <row r="21" spans="1:13" ht="90" x14ac:dyDescent="0.25">
      <c r="A21" s="12"/>
      <c r="B21" s="12"/>
      <c r="C21" s="12" t="s">
        <v>874</v>
      </c>
      <c r="D21" s="12"/>
      <c r="E21" s="12"/>
      <c r="F21" s="12"/>
      <c r="G21" s="10">
        <v>2</v>
      </c>
      <c r="H21" s="10" t="s">
        <v>1000</v>
      </c>
      <c r="I21" s="5" t="s">
        <v>763</v>
      </c>
      <c r="J21" s="4" t="s">
        <v>764</v>
      </c>
    </row>
    <row r="22" spans="1:13" ht="105" x14ac:dyDescent="0.25">
      <c r="A22" s="9"/>
      <c r="B22" s="9"/>
      <c r="C22" s="9" t="s">
        <v>874</v>
      </c>
      <c r="D22" s="9" t="s">
        <v>874</v>
      </c>
      <c r="E22" s="9" t="s">
        <v>874</v>
      </c>
      <c r="F22" s="9" t="s">
        <v>874</v>
      </c>
      <c r="G22" s="11">
        <v>2</v>
      </c>
      <c r="H22" s="11" t="s">
        <v>1842</v>
      </c>
      <c r="I22" s="11" t="s">
        <v>1843</v>
      </c>
      <c r="J22" s="5" t="s">
        <v>2000</v>
      </c>
      <c r="L22" s="4"/>
      <c r="M22" s="214" t="s">
        <v>887</v>
      </c>
    </row>
    <row r="23" spans="1:13" ht="45" x14ac:dyDescent="0.25">
      <c r="A23" s="12"/>
      <c r="B23" s="12"/>
      <c r="C23" s="12" t="s">
        <v>874</v>
      </c>
      <c r="D23" s="12"/>
      <c r="E23" s="12"/>
      <c r="F23" s="12" t="s">
        <v>874</v>
      </c>
      <c r="G23" s="10">
        <v>2</v>
      </c>
      <c r="H23" s="10" t="s">
        <v>1844</v>
      </c>
      <c r="I23" s="2" t="s">
        <v>1899</v>
      </c>
      <c r="J23" s="1" t="s">
        <v>1177</v>
      </c>
      <c r="K23" s="4" t="s">
        <v>1178</v>
      </c>
    </row>
    <row r="24" spans="1:13" ht="60" x14ac:dyDescent="0.25">
      <c r="A24" s="12"/>
      <c r="B24" s="12" t="s">
        <v>874</v>
      </c>
      <c r="C24" s="12"/>
      <c r="D24" s="12"/>
      <c r="E24" s="12"/>
      <c r="F24" s="12" t="s">
        <v>874</v>
      </c>
      <c r="G24" s="10">
        <v>2</v>
      </c>
      <c r="H24" s="10" t="s">
        <v>1179</v>
      </c>
      <c r="I24" s="1" t="s">
        <v>765</v>
      </c>
      <c r="J24" s="4" t="s">
        <v>766</v>
      </c>
      <c r="K24" s="4" t="s">
        <v>1180</v>
      </c>
    </row>
    <row r="25" spans="1:13" ht="60" x14ac:dyDescent="0.25">
      <c r="A25" s="12"/>
      <c r="B25" s="12"/>
      <c r="C25" s="12" t="s">
        <v>874</v>
      </c>
      <c r="D25" s="12"/>
      <c r="E25" s="12"/>
      <c r="F25" s="12"/>
      <c r="G25" s="10">
        <v>2</v>
      </c>
      <c r="H25" s="10" t="s">
        <v>1181</v>
      </c>
      <c r="I25" s="1" t="s">
        <v>767</v>
      </c>
      <c r="J25" s="4" t="s">
        <v>1189</v>
      </c>
    </row>
    <row r="26" spans="1:13" ht="45" x14ac:dyDescent="0.25">
      <c r="A26" s="12"/>
      <c r="B26" s="12"/>
      <c r="C26" s="12"/>
      <c r="D26" s="12" t="s">
        <v>874</v>
      </c>
      <c r="E26" s="12"/>
      <c r="F26" s="12"/>
      <c r="G26" s="10">
        <v>2</v>
      </c>
      <c r="H26" s="10" t="s">
        <v>1859</v>
      </c>
      <c r="I26" s="2" t="s">
        <v>1900</v>
      </c>
      <c r="J26" s="1" t="s">
        <v>1860</v>
      </c>
      <c r="M26" s="213" t="s">
        <v>887</v>
      </c>
    </row>
    <row r="27" spans="1:13" ht="75" x14ac:dyDescent="0.25">
      <c r="C27" s="9" t="s">
        <v>874</v>
      </c>
      <c r="F27" s="12" t="s">
        <v>874</v>
      </c>
      <c r="G27" s="6">
        <v>2</v>
      </c>
      <c r="H27" s="13" t="s">
        <v>1506</v>
      </c>
      <c r="I27" s="7" t="s">
        <v>1511</v>
      </c>
      <c r="J27" s="4" t="s">
        <v>2001</v>
      </c>
      <c r="M27" s="213" t="s">
        <v>887</v>
      </c>
    </row>
    <row r="28" spans="1:13" ht="30" x14ac:dyDescent="0.25">
      <c r="A28" s="9" t="s">
        <v>874</v>
      </c>
      <c r="B28" s="9" t="s">
        <v>874</v>
      </c>
      <c r="C28" s="9"/>
      <c r="F28" s="9" t="s">
        <v>874</v>
      </c>
      <c r="G28" s="6">
        <v>2</v>
      </c>
      <c r="H28" s="13" t="s">
        <v>2056</v>
      </c>
      <c r="I28" s="7" t="s">
        <v>2058</v>
      </c>
      <c r="J28" s="214" t="s">
        <v>2057</v>
      </c>
      <c r="K28" s="214" t="s">
        <v>2059</v>
      </c>
      <c r="M28" s="213" t="s">
        <v>2060</v>
      </c>
    </row>
    <row r="29" spans="1:13" ht="45" x14ac:dyDescent="0.25">
      <c r="A29" s="9" t="s">
        <v>874</v>
      </c>
      <c r="B29" s="9" t="s">
        <v>874</v>
      </c>
      <c r="C29" s="9"/>
      <c r="D29" s="9"/>
      <c r="E29" s="9"/>
      <c r="F29" s="9" t="s">
        <v>874</v>
      </c>
      <c r="G29" s="11">
        <v>2</v>
      </c>
      <c r="H29" s="11" t="s">
        <v>1839</v>
      </c>
      <c r="I29" s="11" t="s">
        <v>1840</v>
      </c>
      <c r="J29" s="1" t="s">
        <v>1838</v>
      </c>
      <c r="K29" s="4" t="s">
        <v>1841</v>
      </c>
      <c r="L29" s="4"/>
      <c r="M29" s="4"/>
    </row>
    <row r="30" spans="1:13" ht="30" x14ac:dyDescent="0.25">
      <c r="A30" s="12"/>
      <c r="B30" s="12"/>
      <c r="C30" s="12" t="s">
        <v>874</v>
      </c>
      <c r="D30" s="12"/>
      <c r="E30" s="12"/>
      <c r="F30" s="12" t="s">
        <v>874</v>
      </c>
      <c r="G30" s="10">
        <v>2</v>
      </c>
      <c r="H30" s="10" t="s">
        <v>1182</v>
      </c>
      <c r="I30" s="1" t="s">
        <v>1190</v>
      </c>
      <c r="J30" s="186" t="s">
        <v>1203</v>
      </c>
    </row>
    <row r="31" spans="1:13" ht="45" x14ac:dyDescent="0.25">
      <c r="A31" s="9"/>
      <c r="B31" s="9" t="s">
        <v>874</v>
      </c>
      <c r="C31" s="9" t="s">
        <v>874</v>
      </c>
      <c r="D31" s="9"/>
      <c r="E31" s="9"/>
      <c r="F31" s="9" t="s">
        <v>874</v>
      </c>
      <c r="G31" s="11">
        <v>2</v>
      </c>
      <c r="H31" s="11" t="s">
        <v>1831</v>
      </c>
      <c r="I31" s="11" t="s">
        <v>1077</v>
      </c>
      <c r="J31" s="1" t="s">
        <v>1729</v>
      </c>
      <c r="K31" s="214"/>
      <c r="L31" s="4"/>
      <c r="M31" s="4"/>
    </row>
    <row r="32" spans="1:13" ht="60" x14ac:dyDescent="0.25">
      <c r="A32" s="9" t="s">
        <v>874</v>
      </c>
      <c r="B32" s="9" t="s">
        <v>874</v>
      </c>
      <c r="C32" s="9"/>
      <c r="D32" s="9"/>
      <c r="E32" s="9"/>
      <c r="F32" s="9" t="s">
        <v>874</v>
      </c>
      <c r="G32" s="11">
        <v>2</v>
      </c>
      <c r="H32" s="11" t="s">
        <v>890</v>
      </c>
      <c r="I32" s="7" t="s">
        <v>1078</v>
      </c>
      <c r="J32" s="1" t="s">
        <v>2002</v>
      </c>
      <c r="K32" s="4" t="s">
        <v>1689</v>
      </c>
      <c r="L32" s="4"/>
      <c r="M32" s="4"/>
    </row>
    <row r="33" spans="1:13" ht="120" x14ac:dyDescent="0.25">
      <c r="A33" s="12"/>
      <c r="B33" s="12" t="s">
        <v>874</v>
      </c>
      <c r="C33" s="12"/>
      <c r="D33" s="12"/>
      <c r="E33" s="12"/>
      <c r="F33" s="12"/>
      <c r="G33" s="10">
        <v>2</v>
      </c>
      <c r="H33" s="10" t="s">
        <v>1185</v>
      </c>
      <c r="I33" s="5" t="s">
        <v>1192</v>
      </c>
      <c r="J33" s="3" t="s">
        <v>1193</v>
      </c>
      <c r="K33" s="4" t="s">
        <v>1186</v>
      </c>
    </row>
    <row r="34" spans="1:13" ht="45" x14ac:dyDescent="0.25">
      <c r="A34" s="12"/>
      <c r="B34" s="12"/>
      <c r="C34" s="12" t="s">
        <v>874</v>
      </c>
      <c r="D34" s="12"/>
      <c r="E34" s="12"/>
      <c r="F34" s="12"/>
      <c r="G34" s="10">
        <v>2</v>
      </c>
      <c r="H34" s="10" t="s">
        <v>1768</v>
      </c>
      <c r="I34" s="1" t="s">
        <v>1274</v>
      </c>
      <c r="J34" s="4" t="s">
        <v>1275</v>
      </c>
      <c r="M34" s="213" t="s">
        <v>887</v>
      </c>
    </row>
    <row r="35" spans="1:13" ht="60" x14ac:dyDescent="0.25">
      <c r="A35" s="12"/>
      <c r="B35" s="12"/>
      <c r="C35" s="12" t="s">
        <v>874</v>
      </c>
      <c r="D35" s="12"/>
      <c r="E35" s="12"/>
      <c r="F35" s="12" t="s">
        <v>874</v>
      </c>
      <c r="G35" s="10">
        <v>2</v>
      </c>
      <c r="H35" s="10" t="s">
        <v>1187</v>
      </c>
      <c r="I35" s="1" t="s">
        <v>1195</v>
      </c>
      <c r="J35" s="4" t="s">
        <v>1194</v>
      </c>
    </row>
    <row r="36" spans="1:13" ht="75" x14ac:dyDescent="0.25">
      <c r="A36" s="12"/>
      <c r="B36" s="12"/>
      <c r="C36" s="12" t="s">
        <v>874</v>
      </c>
      <c r="D36" s="12"/>
      <c r="E36" s="12"/>
      <c r="F36" s="12" t="s">
        <v>874</v>
      </c>
      <c r="G36" s="10">
        <v>2</v>
      </c>
      <c r="H36" s="10" t="s">
        <v>1188</v>
      </c>
      <c r="I36" s="7" t="s">
        <v>1067</v>
      </c>
      <c r="J36" s="1" t="s">
        <v>1850</v>
      </c>
    </row>
    <row r="37" spans="1:13" ht="45" x14ac:dyDescent="0.25">
      <c r="A37" s="12" t="s">
        <v>874</v>
      </c>
      <c r="B37" s="12" t="s">
        <v>874</v>
      </c>
      <c r="C37" s="12"/>
      <c r="D37" s="12"/>
      <c r="E37" s="12"/>
      <c r="F37" s="12" t="s">
        <v>874</v>
      </c>
      <c r="G37" s="10">
        <v>3</v>
      </c>
      <c r="H37" s="10" t="s">
        <v>1851</v>
      </c>
      <c r="I37" s="1" t="s">
        <v>1196</v>
      </c>
      <c r="J37" s="4" t="s">
        <v>1727</v>
      </c>
      <c r="K37" s="4" t="s">
        <v>1852</v>
      </c>
    </row>
    <row r="38" spans="1:13" ht="60" x14ac:dyDescent="0.25">
      <c r="A38" s="9" t="s">
        <v>874</v>
      </c>
      <c r="B38" s="9" t="s">
        <v>874</v>
      </c>
      <c r="C38" s="9"/>
      <c r="D38" s="9"/>
      <c r="E38" s="9"/>
      <c r="F38" s="9" t="s">
        <v>874</v>
      </c>
      <c r="G38" s="11">
        <v>3</v>
      </c>
      <c r="H38" s="11" t="s">
        <v>1685</v>
      </c>
      <c r="I38" s="11" t="s">
        <v>1692</v>
      </c>
      <c r="J38" s="1" t="s">
        <v>1691</v>
      </c>
      <c r="K38" s="4" t="s">
        <v>1690</v>
      </c>
      <c r="L38" s="4"/>
      <c r="M38" s="4"/>
    </row>
    <row r="39" spans="1:13" ht="60" x14ac:dyDescent="0.25">
      <c r="A39" s="12"/>
      <c r="B39" s="12"/>
      <c r="C39" s="12" t="s">
        <v>874</v>
      </c>
      <c r="D39" s="12"/>
      <c r="E39" s="12"/>
      <c r="F39" s="12"/>
      <c r="G39" s="10">
        <v>3</v>
      </c>
      <c r="H39" s="10" t="s">
        <v>1853</v>
      </c>
      <c r="I39" s="1" t="s">
        <v>1197</v>
      </c>
      <c r="J39" s="214" t="s">
        <v>2004</v>
      </c>
      <c r="K39" s="4" t="s">
        <v>1854</v>
      </c>
      <c r="M39" s="213" t="s">
        <v>887</v>
      </c>
    </row>
    <row r="40" spans="1:13" ht="45" x14ac:dyDescent="0.25">
      <c r="A40" s="12" t="s">
        <v>874</v>
      </c>
      <c r="B40" s="12" t="s">
        <v>874</v>
      </c>
      <c r="C40" s="12"/>
      <c r="D40" s="12"/>
      <c r="E40" s="12"/>
      <c r="F40" s="12"/>
      <c r="G40" s="10">
        <v>3</v>
      </c>
      <c r="H40" s="10" t="s">
        <v>1855</v>
      </c>
      <c r="I40" s="1" t="s">
        <v>1198</v>
      </c>
      <c r="J40" s="4" t="s">
        <v>1199</v>
      </c>
      <c r="K40" s="4" t="s">
        <v>1856</v>
      </c>
    </row>
    <row r="41" spans="1:13" ht="75" x14ac:dyDescent="0.25">
      <c r="A41" s="12" t="s">
        <v>874</v>
      </c>
      <c r="B41" s="12" t="s">
        <v>874</v>
      </c>
      <c r="C41" s="12"/>
      <c r="D41" s="12"/>
      <c r="E41" s="12"/>
      <c r="F41" s="12"/>
      <c r="G41" s="10">
        <v>3</v>
      </c>
      <c r="H41" s="10" t="s">
        <v>1857</v>
      </c>
      <c r="I41" s="5" t="s">
        <v>1200</v>
      </c>
      <c r="J41" s="4" t="s">
        <v>1201</v>
      </c>
      <c r="K41" s="4" t="s">
        <v>1858</v>
      </c>
    </row>
    <row r="42" spans="1:13" ht="90" x14ac:dyDescent="0.25">
      <c r="A42" s="12" t="s">
        <v>874</v>
      </c>
      <c r="B42" s="12" t="s">
        <v>874</v>
      </c>
      <c r="C42" s="12"/>
      <c r="D42" s="12"/>
      <c r="E42" s="12"/>
      <c r="F42" s="12"/>
      <c r="G42" s="10">
        <v>3</v>
      </c>
      <c r="H42" s="10" t="s">
        <v>1861</v>
      </c>
      <c r="I42" s="5" t="s">
        <v>1621</v>
      </c>
      <c r="J42" s="4" t="s">
        <v>1622</v>
      </c>
      <c r="K42" s="4" t="s">
        <v>1862</v>
      </c>
    </row>
    <row r="43" spans="1:13" ht="60" x14ac:dyDescent="0.25">
      <c r="A43" s="12"/>
      <c r="B43" s="12"/>
      <c r="C43" s="12"/>
      <c r="D43" s="12" t="s">
        <v>874</v>
      </c>
      <c r="E43" s="12"/>
      <c r="F43" s="12"/>
      <c r="G43" s="10">
        <v>3</v>
      </c>
      <c r="H43" s="10" t="s">
        <v>1863</v>
      </c>
      <c r="I43" s="1" t="s">
        <v>1623</v>
      </c>
      <c r="J43" s="4" t="s">
        <v>1624</v>
      </c>
      <c r="K43" s="4" t="s">
        <v>178</v>
      </c>
    </row>
    <row r="44" spans="1:13" ht="90" x14ac:dyDescent="0.25">
      <c r="A44" s="12" t="s">
        <v>874</v>
      </c>
      <c r="B44" s="12" t="s">
        <v>874</v>
      </c>
      <c r="C44" s="12"/>
      <c r="D44" s="12"/>
      <c r="E44" s="12"/>
      <c r="F44" s="12" t="s">
        <v>874</v>
      </c>
      <c r="G44" s="10">
        <v>3</v>
      </c>
      <c r="H44" s="10" t="s">
        <v>1766</v>
      </c>
      <c r="I44" s="5" t="s">
        <v>1272</v>
      </c>
      <c r="J44" s="4" t="s">
        <v>1273</v>
      </c>
      <c r="K44" s="4" t="s">
        <v>1767</v>
      </c>
    </row>
    <row r="45" spans="1:13" ht="75" x14ac:dyDescent="0.25">
      <c r="A45" s="12" t="s">
        <v>874</v>
      </c>
      <c r="B45" s="12" t="s">
        <v>874</v>
      </c>
      <c r="C45" s="12"/>
      <c r="D45" s="12"/>
      <c r="E45" s="12"/>
      <c r="F45" s="12" t="s">
        <v>874</v>
      </c>
      <c r="G45" s="10">
        <v>3</v>
      </c>
      <c r="H45" s="10" t="s">
        <v>1769</v>
      </c>
      <c r="I45" s="1" t="s">
        <v>1276</v>
      </c>
      <c r="J45" s="4" t="s">
        <v>1277</v>
      </c>
      <c r="K45" s="4" t="s">
        <v>1770</v>
      </c>
    </row>
    <row r="46" spans="1:13" ht="45" x14ac:dyDescent="0.25">
      <c r="A46" s="12"/>
      <c r="B46" s="12"/>
      <c r="C46" s="12" t="s">
        <v>874</v>
      </c>
      <c r="D46" s="12"/>
      <c r="E46" s="12"/>
      <c r="F46" s="12" t="s">
        <v>874</v>
      </c>
      <c r="G46" s="10">
        <v>3</v>
      </c>
      <c r="H46" s="10" t="s">
        <v>1771</v>
      </c>
      <c r="I46" s="1" t="s">
        <v>1278</v>
      </c>
      <c r="J46" s="4" t="s">
        <v>1314</v>
      </c>
    </row>
    <row r="47" spans="1:13" ht="30" x14ac:dyDescent="0.25">
      <c r="A47" s="12"/>
      <c r="B47" s="12"/>
      <c r="C47" s="12" t="s">
        <v>874</v>
      </c>
      <c r="D47" s="12"/>
      <c r="E47" s="12"/>
      <c r="F47" s="12" t="s">
        <v>874</v>
      </c>
      <c r="G47" s="10">
        <v>3</v>
      </c>
      <c r="H47" s="10" t="s">
        <v>1772</v>
      </c>
      <c r="I47" s="1" t="s">
        <v>1315</v>
      </c>
      <c r="J47" s="4" t="s">
        <v>1316</v>
      </c>
    </row>
    <row r="48" spans="1:13" ht="60" x14ac:dyDescent="0.25">
      <c r="A48" s="12"/>
      <c r="B48" s="12"/>
      <c r="C48" s="12"/>
      <c r="D48" s="12" t="s">
        <v>874</v>
      </c>
      <c r="E48" s="12"/>
      <c r="F48" s="12" t="s">
        <v>874</v>
      </c>
      <c r="G48" s="10">
        <v>3</v>
      </c>
      <c r="H48" s="10" t="s">
        <v>1773</v>
      </c>
      <c r="I48" s="1" t="s">
        <v>320</v>
      </c>
      <c r="J48" s="4" t="s">
        <v>1317</v>
      </c>
      <c r="K48" s="4" t="s">
        <v>1774</v>
      </c>
    </row>
    <row r="49" spans="1:14" ht="45" x14ac:dyDescent="0.25">
      <c r="A49" s="9"/>
      <c r="B49" s="9"/>
      <c r="C49" s="9" t="s">
        <v>874</v>
      </c>
      <c r="D49" s="9"/>
      <c r="E49" s="9"/>
      <c r="F49" s="9" t="s">
        <v>874</v>
      </c>
      <c r="G49" s="11">
        <v>4</v>
      </c>
      <c r="H49" s="11" t="s">
        <v>1846</v>
      </c>
      <c r="I49" s="11" t="s">
        <v>1080</v>
      </c>
      <c r="J49" s="1" t="s">
        <v>1079</v>
      </c>
      <c r="L49" s="4"/>
      <c r="M49" s="4"/>
    </row>
    <row r="50" spans="1:14" ht="45" x14ac:dyDescent="0.25">
      <c r="A50" s="12"/>
      <c r="B50" s="12" t="s">
        <v>874</v>
      </c>
      <c r="C50" s="12"/>
      <c r="D50" s="12"/>
      <c r="E50" s="12"/>
      <c r="F50" s="12" t="s">
        <v>874</v>
      </c>
      <c r="G50" s="10">
        <v>4</v>
      </c>
      <c r="H50" s="10" t="s">
        <v>1775</v>
      </c>
      <c r="I50" s="1" t="s">
        <v>1901</v>
      </c>
      <c r="J50" s="4" t="s">
        <v>321</v>
      </c>
    </row>
    <row r="51" spans="1:14" ht="120" x14ac:dyDescent="0.25">
      <c r="A51" s="12" t="s">
        <v>874</v>
      </c>
      <c r="B51" s="12" t="s">
        <v>874</v>
      </c>
      <c r="C51" s="12"/>
      <c r="D51" s="12"/>
      <c r="E51" s="12"/>
      <c r="F51" s="12" t="s">
        <v>874</v>
      </c>
      <c r="G51" s="10">
        <v>4</v>
      </c>
      <c r="H51" s="10" t="s">
        <v>1776</v>
      </c>
      <c r="I51" s="5" t="s">
        <v>322</v>
      </c>
      <c r="J51" s="3" t="s">
        <v>775</v>
      </c>
      <c r="N51" s="213" t="s">
        <v>874</v>
      </c>
    </row>
    <row r="52" spans="1:14" ht="60" x14ac:dyDescent="0.25">
      <c r="A52" s="9"/>
      <c r="B52" s="9" t="s">
        <v>874</v>
      </c>
      <c r="C52" s="9"/>
      <c r="D52" s="9"/>
      <c r="E52" s="9"/>
      <c r="F52" s="9" t="s">
        <v>874</v>
      </c>
      <c r="G52" s="11">
        <v>4</v>
      </c>
      <c r="H52" s="11" t="s">
        <v>1604</v>
      </c>
      <c r="I52" s="11" t="s">
        <v>1847</v>
      </c>
      <c r="J52" s="5" t="s">
        <v>1926</v>
      </c>
      <c r="K52" s="4" t="s">
        <v>1603</v>
      </c>
      <c r="L52" s="4"/>
      <c r="M52" s="4"/>
    </row>
    <row r="53" spans="1:14" ht="60" x14ac:dyDescent="0.25">
      <c r="A53" s="9"/>
      <c r="B53" s="9"/>
      <c r="C53" s="9"/>
      <c r="D53" s="9" t="s">
        <v>874</v>
      </c>
      <c r="E53" s="9" t="s">
        <v>874</v>
      </c>
      <c r="F53" s="9"/>
      <c r="G53" s="11">
        <v>4</v>
      </c>
      <c r="H53" s="11" t="s">
        <v>1670</v>
      </c>
      <c r="I53" s="11" t="s">
        <v>1928</v>
      </c>
      <c r="J53" s="1" t="s">
        <v>1927</v>
      </c>
      <c r="L53" s="4"/>
      <c r="M53" s="4"/>
    </row>
    <row r="54" spans="1:14" ht="45" x14ac:dyDescent="0.25">
      <c r="A54" s="12"/>
      <c r="B54" s="12"/>
      <c r="C54" s="12"/>
      <c r="D54" s="12"/>
      <c r="E54" s="12" t="s">
        <v>874</v>
      </c>
      <c r="F54" s="12"/>
      <c r="G54" s="10">
        <v>4</v>
      </c>
      <c r="H54" s="10" t="s">
        <v>1777</v>
      </c>
      <c r="I54" s="2" t="s">
        <v>1902</v>
      </c>
      <c r="J54" s="1" t="s">
        <v>1778</v>
      </c>
    </row>
    <row r="55" spans="1:14" ht="45" x14ac:dyDescent="0.25">
      <c r="A55" s="9"/>
      <c r="B55" s="9"/>
      <c r="C55" s="9" t="s">
        <v>874</v>
      </c>
      <c r="D55" s="9"/>
      <c r="E55" s="9"/>
      <c r="F55" s="9" t="s">
        <v>874</v>
      </c>
      <c r="G55" s="11">
        <v>4</v>
      </c>
      <c r="H55" s="11" t="s">
        <v>1207</v>
      </c>
      <c r="I55" s="11" t="s">
        <v>1929</v>
      </c>
      <c r="J55" s="1" t="s">
        <v>1208</v>
      </c>
      <c r="L55" s="4"/>
      <c r="M55" s="4"/>
    </row>
    <row r="56" spans="1:14" ht="105" x14ac:dyDescent="0.25">
      <c r="A56" s="12" t="s">
        <v>874</v>
      </c>
      <c r="B56" s="12" t="s">
        <v>874</v>
      </c>
      <c r="C56" s="12"/>
      <c r="D56" s="12"/>
      <c r="E56" s="12"/>
      <c r="F56" s="12" t="s">
        <v>874</v>
      </c>
      <c r="G56" s="10">
        <v>4</v>
      </c>
      <c r="H56" s="10" t="s">
        <v>1779</v>
      </c>
      <c r="I56" s="5" t="s">
        <v>776</v>
      </c>
      <c r="J56" s="3" t="s">
        <v>256</v>
      </c>
      <c r="K56" s="4" t="s">
        <v>1780</v>
      </c>
    </row>
    <row r="57" spans="1:14" ht="195" x14ac:dyDescent="0.25">
      <c r="A57" s="12" t="s">
        <v>874</v>
      </c>
      <c r="B57" s="12" t="s">
        <v>874</v>
      </c>
      <c r="C57" s="12"/>
      <c r="D57" s="12" t="s">
        <v>874</v>
      </c>
      <c r="E57" s="12"/>
      <c r="F57" s="12" t="s">
        <v>874</v>
      </c>
      <c r="G57" s="10">
        <v>4</v>
      </c>
      <c r="H57" s="10" t="s">
        <v>1781</v>
      </c>
      <c r="I57" s="5" t="s">
        <v>257</v>
      </c>
      <c r="J57" s="228" t="s">
        <v>2071</v>
      </c>
    </row>
    <row r="58" spans="1:14" ht="30" x14ac:dyDescent="0.25">
      <c r="A58" s="12"/>
      <c r="B58" s="12"/>
      <c r="C58" s="12"/>
      <c r="D58" s="12" t="s">
        <v>874</v>
      </c>
      <c r="E58" s="12"/>
      <c r="F58" s="12"/>
      <c r="G58" s="10">
        <v>4</v>
      </c>
      <c r="H58" s="10" t="s">
        <v>1676</v>
      </c>
      <c r="I58" s="2" t="s">
        <v>1903</v>
      </c>
      <c r="J58" s="1" t="s">
        <v>2005</v>
      </c>
      <c r="M58" s="213" t="s">
        <v>887</v>
      </c>
    </row>
    <row r="59" spans="1:14" ht="75" x14ac:dyDescent="0.25">
      <c r="A59" s="12" t="s">
        <v>874</v>
      </c>
      <c r="B59" s="12" t="s">
        <v>874</v>
      </c>
      <c r="C59" s="12"/>
      <c r="D59" s="12"/>
      <c r="E59" s="12"/>
      <c r="F59" s="12" t="s">
        <v>874</v>
      </c>
      <c r="G59" s="10">
        <v>4</v>
      </c>
      <c r="H59" s="10" t="s">
        <v>758</v>
      </c>
      <c r="I59" s="1" t="s">
        <v>1627</v>
      </c>
      <c r="J59" s="4" t="s">
        <v>1628</v>
      </c>
      <c r="K59" s="4" t="s">
        <v>1763</v>
      </c>
    </row>
    <row r="60" spans="1:14" ht="60" x14ac:dyDescent="0.25">
      <c r="A60" s="12"/>
      <c r="B60" s="12"/>
      <c r="C60" s="12" t="s">
        <v>874</v>
      </c>
      <c r="D60" s="12"/>
      <c r="E60" s="12"/>
      <c r="F60" s="12"/>
      <c r="G60" s="10">
        <v>4</v>
      </c>
      <c r="H60" s="10" t="s">
        <v>1765</v>
      </c>
      <c r="I60" s="186" t="s">
        <v>823</v>
      </c>
      <c r="J60" s="186" t="s">
        <v>2006</v>
      </c>
      <c r="K60" s="4" t="s">
        <v>55</v>
      </c>
    </row>
    <row r="61" spans="1:14" ht="75" x14ac:dyDescent="0.25">
      <c r="A61" s="12"/>
      <c r="B61" s="12"/>
      <c r="C61" s="12" t="s">
        <v>874</v>
      </c>
      <c r="D61" s="12" t="s">
        <v>874</v>
      </c>
      <c r="E61" s="12"/>
      <c r="F61" s="12"/>
      <c r="G61" s="10">
        <v>4</v>
      </c>
      <c r="H61" s="10" t="s">
        <v>56</v>
      </c>
      <c r="I61" s="1" t="s">
        <v>296</v>
      </c>
      <c r="J61" s="4" t="s">
        <v>999</v>
      </c>
      <c r="K61" s="4" t="s">
        <v>865</v>
      </c>
      <c r="N61" s="213" t="s">
        <v>874</v>
      </c>
    </row>
    <row r="62" spans="1:14" ht="120" x14ac:dyDescent="0.25">
      <c r="A62" s="12" t="s">
        <v>874</v>
      </c>
      <c r="B62" s="12" t="s">
        <v>874</v>
      </c>
      <c r="C62" s="12"/>
      <c r="D62" s="12"/>
      <c r="E62" s="12"/>
      <c r="F62" s="12"/>
      <c r="G62" s="10" t="s">
        <v>57</v>
      </c>
      <c r="H62" s="10" t="s">
        <v>39</v>
      </c>
      <c r="I62" s="5" t="s">
        <v>297</v>
      </c>
      <c r="J62" s="3" t="s">
        <v>357</v>
      </c>
    </row>
    <row r="63" spans="1:14" ht="105" x14ac:dyDescent="0.25">
      <c r="A63" s="9"/>
      <c r="B63" s="9" t="s">
        <v>874</v>
      </c>
      <c r="C63" s="9"/>
      <c r="D63" s="9"/>
      <c r="E63" s="9"/>
      <c r="F63" s="9"/>
      <c r="G63" s="11" t="s">
        <v>57</v>
      </c>
      <c r="H63" s="11" t="s">
        <v>883</v>
      </c>
      <c r="I63" s="11" t="s">
        <v>884</v>
      </c>
      <c r="J63" s="1" t="s">
        <v>2042</v>
      </c>
      <c r="L63" s="4"/>
      <c r="M63" s="4"/>
    </row>
    <row r="64" spans="1:14" ht="75" x14ac:dyDescent="0.25">
      <c r="A64" s="9" t="s">
        <v>874</v>
      </c>
      <c r="B64" s="9" t="s">
        <v>874</v>
      </c>
      <c r="C64" s="9"/>
      <c r="D64" s="9"/>
      <c r="E64" s="9"/>
      <c r="F64" s="9" t="s">
        <v>874</v>
      </c>
      <c r="G64" s="11" t="s">
        <v>57</v>
      </c>
      <c r="H64" s="11" t="s">
        <v>1358</v>
      </c>
      <c r="I64" s="11" t="s">
        <v>1361</v>
      </c>
      <c r="J64" s="11" t="s">
        <v>411</v>
      </c>
      <c r="K64" s="11" t="s">
        <v>1363</v>
      </c>
      <c r="L64" s="11"/>
      <c r="M64" s="11"/>
      <c r="N64" s="213" t="s">
        <v>874</v>
      </c>
    </row>
    <row r="65" spans="1:25" ht="120" x14ac:dyDescent="0.25">
      <c r="A65" s="9" t="s">
        <v>874</v>
      </c>
      <c r="B65" s="9" t="s">
        <v>874</v>
      </c>
      <c r="C65" s="9"/>
      <c r="D65" s="9"/>
      <c r="E65" s="9"/>
      <c r="F65" s="9" t="s">
        <v>874</v>
      </c>
      <c r="G65" s="11" t="s">
        <v>57</v>
      </c>
      <c r="H65" s="11" t="s">
        <v>1671</v>
      </c>
      <c r="I65" s="11" t="s">
        <v>1672</v>
      </c>
      <c r="J65" s="5" t="s">
        <v>2007</v>
      </c>
      <c r="L65" s="4"/>
      <c r="M65" s="4"/>
    </row>
    <row r="66" spans="1:25" ht="60" x14ac:dyDescent="0.25">
      <c r="A66" s="12" t="s">
        <v>874</v>
      </c>
      <c r="B66" s="12" t="s">
        <v>874</v>
      </c>
      <c r="C66" s="12"/>
      <c r="D66" s="12"/>
      <c r="E66" s="12"/>
      <c r="F66" s="12" t="s">
        <v>874</v>
      </c>
      <c r="G66" s="10" t="s">
        <v>57</v>
      </c>
      <c r="H66" s="10" t="s">
        <v>58</v>
      </c>
      <c r="I66" s="1" t="s">
        <v>358</v>
      </c>
      <c r="J66" s="4" t="s">
        <v>359</v>
      </c>
      <c r="K66" s="4" t="s">
        <v>59</v>
      </c>
    </row>
    <row r="67" spans="1:25" ht="45" x14ac:dyDescent="0.25">
      <c r="A67" s="12" t="s">
        <v>874</v>
      </c>
      <c r="B67" s="12" t="s">
        <v>874</v>
      </c>
      <c r="C67" s="12"/>
      <c r="D67" s="12"/>
      <c r="E67" s="12"/>
      <c r="F67" s="12" t="s">
        <v>874</v>
      </c>
      <c r="G67" s="10" t="s">
        <v>57</v>
      </c>
      <c r="H67" s="10" t="s">
        <v>60</v>
      </c>
      <c r="I67" s="2" t="s">
        <v>1904</v>
      </c>
      <c r="J67" s="1" t="s">
        <v>61</v>
      </c>
      <c r="K67" s="4" t="s">
        <v>462</v>
      </c>
    </row>
    <row r="68" spans="1:25" ht="90" x14ac:dyDescent="0.25">
      <c r="A68" s="12" t="s">
        <v>874</v>
      </c>
      <c r="B68" s="12" t="s">
        <v>874</v>
      </c>
      <c r="C68" s="12"/>
      <c r="D68" s="12"/>
      <c r="E68" s="12"/>
      <c r="F68" s="12" t="s">
        <v>874</v>
      </c>
      <c r="G68" s="10" t="s">
        <v>57</v>
      </c>
      <c r="H68" s="10" t="s">
        <v>62</v>
      </c>
      <c r="I68" s="1" t="s">
        <v>361</v>
      </c>
      <c r="J68" s="4" t="s">
        <v>360</v>
      </c>
    </row>
    <row r="69" spans="1:25" ht="90" x14ac:dyDescent="0.25">
      <c r="A69" s="12"/>
      <c r="B69" s="12"/>
      <c r="C69" s="12" t="s">
        <v>874</v>
      </c>
      <c r="D69" s="12"/>
      <c r="E69" s="12"/>
      <c r="F69" s="12"/>
      <c r="G69" s="213" t="s">
        <v>57</v>
      </c>
      <c r="H69" s="10" t="s">
        <v>415</v>
      </c>
      <c r="I69" s="1" t="s">
        <v>893</v>
      </c>
      <c r="J69" s="214" t="s">
        <v>2034</v>
      </c>
      <c r="N69" s="4"/>
      <c r="O69" s="4"/>
      <c r="P69" s="4"/>
      <c r="Q69" s="4"/>
      <c r="R69" s="4"/>
      <c r="S69" s="4"/>
      <c r="T69" s="4"/>
      <c r="U69" s="4"/>
      <c r="V69" s="4"/>
      <c r="W69" s="4"/>
      <c r="X69" s="4"/>
      <c r="Y69" s="4"/>
    </row>
    <row r="70" spans="1:25" ht="210" x14ac:dyDescent="0.25">
      <c r="A70" s="12" t="s">
        <v>874</v>
      </c>
      <c r="B70" s="12" t="s">
        <v>874</v>
      </c>
      <c r="C70" s="12"/>
      <c r="D70" s="12"/>
      <c r="E70" s="12"/>
      <c r="F70" s="12" t="s">
        <v>874</v>
      </c>
      <c r="G70" s="10" t="s">
        <v>57</v>
      </c>
      <c r="H70" s="10" t="s">
        <v>63</v>
      </c>
      <c r="I70" s="5" t="s">
        <v>362</v>
      </c>
      <c r="J70" s="228" t="s">
        <v>2010</v>
      </c>
      <c r="M70" s="213" t="s">
        <v>887</v>
      </c>
      <c r="N70" s="213" t="s">
        <v>874</v>
      </c>
    </row>
    <row r="71" spans="1:25" ht="30" x14ac:dyDescent="0.25">
      <c r="A71" s="9" t="s">
        <v>874</v>
      </c>
      <c r="B71" s="9" t="s">
        <v>874</v>
      </c>
      <c r="C71" s="9"/>
      <c r="D71" s="9"/>
      <c r="E71" s="9"/>
      <c r="F71" s="9" t="s">
        <v>874</v>
      </c>
      <c r="G71" s="11" t="s">
        <v>57</v>
      </c>
      <c r="H71" s="11" t="s">
        <v>771</v>
      </c>
      <c r="I71" s="7" t="s">
        <v>1357</v>
      </c>
      <c r="J71" s="8" t="s">
        <v>772</v>
      </c>
      <c r="K71" s="8" t="s">
        <v>1625</v>
      </c>
      <c r="L71" s="8"/>
      <c r="M71" s="8"/>
    </row>
    <row r="72" spans="1:25" ht="75" x14ac:dyDescent="0.25">
      <c r="A72" s="9" t="s">
        <v>874</v>
      </c>
      <c r="B72" s="9" t="s">
        <v>874</v>
      </c>
      <c r="C72" s="9"/>
      <c r="D72" s="9"/>
      <c r="E72" s="9"/>
      <c r="F72" s="9" t="s">
        <v>874</v>
      </c>
      <c r="G72" s="11" t="s">
        <v>57</v>
      </c>
      <c r="H72" s="11" t="s">
        <v>1879</v>
      </c>
      <c r="I72" s="1" t="s">
        <v>1930</v>
      </c>
      <c r="J72" s="214" t="s">
        <v>2008</v>
      </c>
      <c r="L72" s="4" t="s">
        <v>1206</v>
      </c>
      <c r="M72" s="214" t="s">
        <v>887</v>
      </c>
      <c r="N72" s="213" t="s">
        <v>874</v>
      </c>
    </row>
    <row r="73" spans="1:25" ht="60" x14ac:dyDescent="0.25">
      <c r="A73" s="12"/>
      <c r="B73" s="12"/>
      <c r="C73" s="12" t="s">
        <v>874</v>
      </c>
      <c r="D73" s="12" t="s">
        <v>874</v>
      </c>
      <c r="E73" s="12" t="s">
        <v>874</v>
      </c>
      <c r="F73" s="12" t="s">
        <v>874</v>
      </c>
      <c r="G73" s="10" t="s">
        <v>57</v>
      </c>
      <c r="H73" s="10" t="s">
        <v>1502</v>
      </c>
      <c r="I73" s="4" t="s">
        <v>1150</v>
      </c>
      <c r="J73" s="1" t="s">
        <v>2009</v>
      </c>
    </row>
    <row r="74" spans="1:25" ht="75" x14ac:dyDescent="0.25">
      <c r="A74" s="12" t="s">
        <v>874</v>
      </c>
      <c r="B74" s="12" t="s">
        <v>874</v>
      </c>
      <c r="C74" s="12"/>
      <c r="D74" s="12"/>
      <c r="E74" s="12"/>
      <c r="F74" s="12" t="s">
        <v>874</v>
      </c>
      <c r="G74" s="10" t="s">
        <v>57</v>
      </c>
      <c r="H74" s="10" t="s">
        <v>64</v>
      </c>
      <c r="I74" s="5" t="s">
        <v>363</v>
      </c>
      <c r="J74" s="4" t="s">
        <v>538</v>
      </c>
      <c r="K74" s="4" t="s">
        <v>65</v>
      </c>
    </row>
    <row r="75" spans="1:25" ht="105" x14ac:dyDescent="0.25">
      <c r="A75" s="9" t="s">
        <v>874</v>
      </c>
      <c r="B75" s="9" t="s">
        <v>874</v>
      </c>
      <c r="C75" s="9"/>
      <c r="D75" s="9"/>
      <c r="E75" s="9"/>
      <c r="F75" s="9" t="s">
        <v>874</v>
      </c>
      <c r="G75" s="11" t="s">
        <v>57</v>
      </c>
      <c r="H75" s="11" t="s">
        <v>1848</v>
      </c>
      <c r="I75" s="11" t="s">
        <v>1849</v>
      </c>
      <c r="J75" s="5" t="s">
        <v>2011</v>
      </c>
      <c r="K75" s="214" t="s">
        <v>768</v>
      </c>
      <c r="L75" s="4"/>
      <c r="M75" s="214" t="s">
        <v>887</v>
      </c>
    </row>
    <row r="76" spans="1:25" ht="135" x14ac:dyDescent="0.25">
      <c r="A76" s="9"/>
      <c r="B76" s="9" t="s">
        <v>874</v>
      </c>
      <c r="C76" s="9"/>
      <c r="D76" s="9"/>
      <c r="E76" s="9"/>
      <c r="F76" s="9" t="s">
        <v>874</v>
      </c>
      <c r="G76" s="11" t="s">
        <v>57</v>
      </c>
      <c r="H76" s="11" t="s">
        <v>1375</v>
      </c>
      <c r="I76" s="11" t="s">
        <v>1386</v>
      </c>
      <c r="J76" s="76" t="s">
        <v>1066</v>
      </c>
      <c r="K76" s="11"/>
      <c r="L76" s="11" t="s">
        <v>1376</v>
      </c>
      <c r="M76" s="11"/>
    </row>
    <row r="77" spans="1:25" ht="120" x14ac:dyDescent="0.25">
      <c r="A77" s="12" t="s">
        <v>874</v>
      </c>
      <c r="B77" s="12" t="s">
        <v>874</v>
      </c>
      <c r="C77" s="12"/>
      <c r="D77" s="12"/>
      <c r="E77" s="12"/>
      <c r="F77" s="12" t="s">
        <v>874</v>
      </c>
      <c r="G77" s="10" t="s">
        <v>57</v>
      </c>
      <c r="H77" s="10" t="s">
        <v>1004</v>
      </c>
      <c r="I77" s="5" t="s">
        <v>364</v>
      </c>
      <c r="J77" s="3" t="s">
        <v>673</v>
      </c>
      <c r="N77" s="213" t="s">
        <v>874</v>
      </c>
    </row>
    <row r="78" spans="1:25" ht="75" x14ac:dyDescent="0.25">
      <c r="A78" s="12" t="s">
        <v>874</v>
      </c>
      <c r="B78" s="12" t="s">
        <v>874</v>
      </c>
      <c r="C78" s="12"/>
      <c r="D78" s="12"/>
      <c r="E78" s="12"/>
      <c r="F78" s="12" t="s">
        <v>874</v>
      </c>
      <c r="G78" s="10" t="s">
        <v>57</v>
      </c>
      <c r="H78" s="10" t="s">
        <v>66</v>
      </c>
      <c r="I78" s="2" t="s">
        <v>1905</v>
      </c>
      <c r="J78" s="1" t="s">
        <v>1552</v>
      </c>
      <c r="N78" s="213" t="s">
        <v>874</v>
      </c>
    </row>
    <row r="79" spans="1:25" ht="75" x14ac:dyDescent="0.25">
      <c r="A79" s="12"/>
      <c r="B79" s="12"/>
      <c r="C79" s="12" t="s">
        <v>874</v>
      </c>
      <c r="D79" s="12"/>
      <c r="E79" s="12"/>
      <c r="F79" s="12"/>
      <c r="G79" s="213" t="s">
        <v>57</v>
      </c>
      <c r="H79" s="10" t="s">
        <v>1950</v>
      </c>
      <c r="I79" s="1" t="s">
        <v>1633</v>
      </c>
      <c r="J79" s="214" t="s">
        <v>1997</v>
      </c>
      <c r="M79" s="213" t="s">
        <v>887</v>
      </c>
      <c r="N79" s="4"/>
      <c r="O79" s="4"/>
      <c r="P79" s="4"/>
      <c r="Q79" s="4"/>
      <c r="R79" s="4"/>
      <c r="S79" s="4"/>
      <c r="T79" s="4"/>
      <c r="U79" s="4"/>
      <c r="V79" s="4"/>
      <c r="W79" s="4"/>
      <c r="X79" s="4"/>
      <c r="Y79" s="4"/>
    </row>
    <row r="80" spans="1:25" ht="30" x14ac:dyDescent="0.25">
      <c r="A80" s="12" t="s">
        <v>874</v>
      </c>
      <c r="B80" s="12" t="s">
        <v>874</v>
      </c>
      <c r="C80" s="12"/>
      <c r="D80" s="12"/>
      <c r="E80" s="12"/>
      <c r="F80" s="12" t="s">
        <v>874</v>
      </c>
      <c r="G80" s="10" t="s">
        <v>57</v>
      </c>
      <c r="H80" s="10" t="s">
        <v>642</v>
      </c>
      <c r="I80" s="2" t="s">
        <v>1906</v>
      </c>
      <c r="J80" s="1" t="s">
        <v>643</v>
      </c>
      <c r="K80" s="4" t="s">
        <v>644</v>
      </c>
    </row>
    <row r="81" spans="1:14" ht="135" x14ac:dyDescent="0.25">
      <c r="A81" s="12" t="s">
        <v>874</v>
      </c>
      <c r="B81" s="12" t="s">
        <v>874</v>
      </c>
      <c r="C81" s="12"/>
      <c r="D81" s="12"/>
      <c r="E81" s="12"/>
      <c r="F81" s="12" t="s">
        <v>874</v>
      </c>
      <c r="G81" s="10" t="s">
        <v>57</v>
      </c>
      <c r="H81" s="10" t="s">
        <v>645</v>
      </c>
      <c r="I81" s="186" t="s">
        <v>734</v>
      </c>
      <c r="J81" s="187" t="s">
        <v>759</v>
      </c>
      <c r="N81" s="213" t="s">
        <v>874</v>
      </c>
    </row>
    <row r="82" spans="1:14" ht="165" x14ac:dyDescent="0.25">
      <c r="A82" s="12" t="s">
        <v>874</v>
      </c>
      <c r="B82" s="12" t="s">
        <v>874</v>
      </c>
      <c r="C82" s="12"/>
      <c r="D82" s="12"/>
      <c r="E82" s="12"/>
      <c r="F82" s="12" t="s">
        <v>874</v>
      </c>
      <c r="G82" s="10" t="s">
        <v>57</v>
      </c>
      <c r="H82" s="10" t="s">
        <v>646</v>
      </c>
      <c r="I82" s="5" t="s">
        <v>1500</v>
      </c>
      <c r="J82" s="4" t="s">
        <v>1501</v>
      </c>
      <c r="K82" s="4" t="s">
        <v>903</v>
      </c>
    </row>
    <row r="83" spans="1:14" ht="60" x14ac:dyDescent="0.25">
      <c r="A83" s="12" t="s">
        <v>874</v>
      </c>
      <c r="B83" s="12" t="s">
        <v>874</v>
      </c>
      <c r="C83" s="12"/>
      <c r="D83" s="12"/>
      <c r="E83" s="12"/>
      <c r="F83" s="12" t="s">
        <v>874</v>
      </c>
      <c r="G83" s="10" t="s">
        <v>57</v>
      </c>
      <c r="H83" s="10" t="s">
        <v>647</v>
      </c>
      <c r="I83" s="1" t="s">
        <v>674</v>
      </c>
      <c r="J83" s="214" t="s">
        <v>2012</v>
      </c>
      <c r="K83" s="4" t="s">
        <v>648</v>
      </c>
    </row>
    <row r="84" spans="1:14" ht="75" x14ac:dyDescent="0.25">
      <c r="A84" s="12" t="s">
        <v>874</v>
      </c>
      <c r="B84" s="12" t="s">
        <v>874</v>
      </c>
      <c r="C84" s="12"/>
      <c r="D84" s="12"/>
      <c r="E84" s="12"/>
      <c r="F84" s="12" t="s">
        <v>874</v>
      </c>
      <c r="G84" s="10" t="s">
        <v>57</v>
      </c>
      <c r="H84" s="10" t="s">
        <v>649</v>
      </c>
      <c r="I84" s="5" t="s">
        <v>744</v>
      </c>
      <c r="J84" s="214" t="s">
        <v>2013</v>
      </c>
      <c r="M84" s="213"/>
      <c r="N84" s="213" t="s">
        <v>874</v>
      </c>
    </row>
    <row r="85" spans="1:14" ht="45" x14ac:dyDescent="0.25">
      <c r="A85" s="9" t="s">
        <v>874</v>
      </c>
      <c r="B85" s="9" t="s">
        <v>874</v>
      </c>
      <c r="C85" s="9"/>
      <c r="D85" s="9"/>
      <c r="E85" s="9"/>
      <c r="F85" s="9" t="s">
        <v>874</v>
      </c>
      <c r="G85" s="11" t="s">
        <v>57</v>
      </c>
      <c r="H85" s="11" t="s">
        <v>1880</v>
      </c>
      <c r="I85" s="11" t="s">
        <v>1882</v>
      </c>
      <c r="J85" s="11" t="s">
        <v>1355</v>
      </c>
      <c r="K85" s="11"/>
      <c r="L85" s="11"/>
      <c r="M85" s="11"/>
      <c r="N85" s="213" t="s">
        <v>874</v>
      </c>
    </row>
    <row r="86" spans="1:14" ht="75" x14ac:dyDescent="0.25">
      <c r="A86" s="12" t="s">
        <v>874</v>
      </c>
      <c r="B86" s="12" t="s">
        <v>874</v>
      </c>
      <c r="C86" s="12"/>
      <c r="D86" s="12"/>
      <c r="E86" s="12"/>
      <c r="F86" s="12" t="s">
        <v>874</v>
      </c>
      <c r="G86" s="10" t="s">
        <v>57</v>
      </c>
      <c r="H86" s="10" t="s">
        <v>650</v>
      </c>
      <c r="I86" s="5" t="s">
        <v>745</v>
      </c>
      <c r="J86" s="4" t="s">
        <v>746</v>
      </c>
      <c r="N86" s="213" t="s">
        <v>874</v>
      </c>
    </row>
    <row r="87" spans="1:14" ht="120" x14ac:dyDescent="0.25">
      <c r="A87" s="12" t="s">
        <v>874</v>
      </c>
      <c r="B87" s="12" t="s">
        <v>874</v>
      </c>
      <c r="C87" s="12"/>
      <c r="D87" s="12"/>
      <c r="E87" s="12"/>
      <c r="F87" s="12" t="s">
        <v>874</v>
      </c>
      <c r="G87" s="10" t="s">
        <v>57</v>
      </c>
      <c r="H87" s="10" t="s">
        <v>651</v>
      </c>
      <c r="I87" s="5" t="s">
        <v>1910</v>
      </c>
      <c r="J87" s="3" t="s">
        <v>1911</v>
      </c>
      <c r="N87" s="213" t="s">
        <v>874</v>
      </c>
    </row>
    <row r="88" spans="1:14" ht="60" x14ac:dyDescent="0.25">
      <c r="A88" s="12"/>
      <c r="B88" s="12" t="s">
        <v>874</v>
      </c>
      <c r="C88" s="12"/>
      <c r="D88" s="12"/>
      <c r="E88" s="12"/>
      <c r="F88" s="12" t="s">
        <v>874</v>
      </c>
      <c r="G88" s="10" t="s">
        <v>57</v>
      </c>
      <c r="H88" s="10" t="s">
        <v>652</v>
      </c>
      <c r="I88" s="1" t="s">
        <v>1912</v>
      </c>
      <c r="J88" s="4" t="s">
        <v>1913</v>
      </c>
      <c r="N88" s="213" t="s">
        <v>874</v>
      </c>
    </row>
    <row r="89" spans="1:14" ht="90" x14ac:dyDescent="0.25">
      <c r="A89" s="12"/>
      <c r="B89" s="12" t="s">
        <v>874</v>
      </c>
      <c r="C89" s="12"/>
      <c r="D89" s="12"/>
      <c r="E89" s="12"/>
      <c r="F89" s="12" t="s">
        <v>874</v>
      </c>
      <c r="G89" s="10" t="s">
        <v>57</v>
      </c>
      <c r="H89" s="10" t="s">
        <v>653</v>
      </c>
      <c r="I89" s="5" t="s">
        <v>1914</v>
      </c>
      <c r="J89" s="3" t="s">
        <v>1915</v>
      </c>
    </row>
    <row r="90" spans="1:14" ht="105" x14ac:dyDescent="0.25">
      <c r="A90" s="12" t="s">
        <v>874</v>
      </c>
      <c r="B90" s="12" t="s">
        <v>874</v>
      </c>
      <c r="C90" s="12"/>
      <c r="D90" s="12"/>
      <c r="E90" s="12"/>
      <c r="F90" s="12" t="s">
        <v>874</v>
      </c>
      <c r="G90" s="10" t="s">
        <v>57</v>
      </c>
      <c r="H90" s="10" t="s">
        <v>654</v>
      </c>
      <c r="I90" s="1" t="s">
        <v>1318</v>
      </c>
      <c r="J90" s="4" t="s">
        <v>1319</v>
      </c>
      <c r="K90" s="4" t="s">
        <v>1611</v>
      </c>
    </row>
    <row r="91" spans="1:14" ht="60" x14ac:dyDescent="0.25">
      <c r="A91" s="12" t="s">
        <v>874</v>
      </c>
      <c r="B91" s="12" t="s">
        <v>874</v>
      </c>
      <c r="C91" s="12"/>
      <c r="D91" s="12"/>
      <c r="E91" s="12"/>
      <c r="F91" s="12" t="s">
        <v>874</v>
      </c>
      <c r="G91" s="10" t="s">
        <v>57</v>
      </c>
      <c r="H91" s="10" t="s">
        <v>655</v>
      </c>
      <c r="I91" s="1" t="s">
        <v>1320</v>
      </c>
      <c r="J91" s="4" t="s">
        <v>1321</v>
      </c>
      <c r="K91" s="4" t="s">
        <v>1779</v>
      </c>
    </row>
    <row r="92" spans="1:14" ht="75" x14ac:dyDescent="0.25">
      <c r="A92" s="12"/>
      <c r="B92" s="12"/>
      <c r="C92" s="12"/>
      <c r="D92" s="12" t="s">
        <v>874</v>
      </c>
      <c r="E92" s="12"/>
      <c r="F92" s="12" t="s">
        <v>874</v>
      </c>
      <c r="G92" s="10" t="s">
        <v>57</v>
      </c>
      <c r="H92" s="10" t="s">
        <v>656</v>
      </c>
      <c r="I92" s="5" t="s">
        <v>1578</v>
      </c>
      <c r="J92" s="4" t="s">
        <v>1579</v>
      </c>
      <c r="M92" s="213" t="s">
        <v>887</v>
      </c>
    </row>
    <row r="93" spans="1:14" ht="90" x14ac:dyDescent="0.25">
      <c r="A93" s="12" t="s">
        <v>874</v>
      </c>
      <c r="B93" s="12" t="s">
        <v>874</v>
      </c>
      <c r="C93" s="12"/>
      <c r="D93" s="12"/>
      <c r="E93" s="12"/>
      <c r="F93" s="12" t="s">
        <v>874</v>
      </c>
      <c r="G93" s="10" t="s">
        <v>57</v>
      </c>
      <c r="H93" s="10" t="s">
        <v>657</v>
      </c>
      <c r="I93" s="5" t="s">
        <v>1580</v>
      </c>
      <c r="J93" s="228" t="s">
        <v>1328</v>
      </c>
      <c r="N93" s="213" t="s">
        <v>874</v>
      </c>
    </row>
    <row r="94" spans="1:14" ht="77.25" customHeight="1" x14ac:dyDescent="0.25">
      <c r="A94" s="12"/>
      <c r="B94" s="12" t="s">
        <v>874</v>
      </c>
      <c r="C94" s="12"/>
      <c r="D94" s="12"/>
      <c r="E94" s="12"/>
      <c r="F94" s="12" t="s">
        <v>874</v>
      </c>
      <c r="G94" s="10" t="s">
        <v>57</v>
      </c>
      <c r="H94" s="10" t="s">
        <v>658</v>
      </c>
      <c r="I94" s="5" t="s">
        <v>1581</v>
      </c>
      <c r="J94" s="2" t="s">
        <v>1327</v>
      </c>
      <c r="N94" s="213" t="s">
        <v>874</v>
      </c>
    </row>
    <row r="95" spans="1:14" ht="66" customHeight="1" x14ac:dyDescent="0.25">
      <c r="A95" s="12" t="s">
        <v>874</v>
      </c>
      <c r="B95" s="12" t="s">
        <v>874</v>
      </c>
      <c r="C95" s="12"/>
      <c r="D95" s="12"/>
      <c r="E95" s="12"/>
      <c r="F95" s="12" t="s">
        <v>874</v>
      </c>
      <c r="G95" s="10" t="s">
        <v>57</v>
      </c>
      <c r="H95" s="10" t="s">
        <v>610</v>
      </c>
      <c r="I95" s="186" t="s">
        <v>761</v>
      </c>
      <c r="J95" s="186" t="s">
        <v>2029</v>
      </c>
      <c r="N95" s="213" t="s">
        <v>874</v>
      </c>
    </row>
    <row r="96" spans="1:14" ht="60" x14ac:dyDescent="0.25">
      <c r="A96" s="12"/>
      <c r="B96" s="12"/>
      <c r="C96" s="12"/>
      <c r="D96" s="12" t="s">
        <v>874</v>
      </c>
      <c r="E96" s="12" t="s">
        <v>874</v>
      </c>
      <c r="F96" s="12" t="s">
        <v>874</v>
      </c>
      <c r="G96" s="10" t="s">
        <v>57</v>
      </c>
      <c r="H96" s="10" t="s">
        <v>611</v>
      </c>
      <c r="I96" s="187" t="s">
        <v>1887</v>
      </c>
      <c r="J96" s="186" t="s">
        <v>1202</v>
      </c>
      <c r="N96" s="213" t="s">
        <v>874</v>
      </c>
    </row>
    <row r="97" spans="1:14" ht="30" x14ac:dyDescent="0.25">
      <c r="A97" s="12" t="s">
        <v>874</v>
      </c>
      <c r="B97" s="12" t="s">
        <v>874</v>
      </c>
      <c r="C97" s="12"/>
      <c r="D97" s="12"/>
      <c r="E97" s="12"/>
      <c r="F97" s="12" t="s">
        <v>874</v>
      </c>
      <c r="G97" s="10" t="s">
        <v>57</v>
      </c>
      <c r="H97" s="10" t="s">
        <v>612</v>
      </c>
      <c r="I97" s="1" t="s">
        <v>1582</v>
      </c>
      <c r="J97" s="4" t="s">
        <v>1583</v>
      </c>
      <c r="K97" s="4" t="s">
        <v>613</v>
      </c>
    </row>
    <row r="98" spans="1:14" ht="45" x14ac:dyDescent="0.25">
      <c r="A98" s="12"/>
      <c r="B98" s="12"/>
      <c r="C98" s="12"/>
      <c r="D98" s="12" t="s">
        <v>874</v>
      </c>
      <c r="E98" s="12" t="s">
        <v>874</v>
      </c>
      <c r="F98" s="12" t="s">
        <v>874</v>
      </c>
      <c r="G98" s="10" t="s">
        <v>57</v>
      </c>
      <c r="H98" s="13" t="s">
        <v>614</v>
      </c>
      <c r="I98" s="1" t="s">
        <v>1584</v>
      </c>
      <c r="J98" s="4" t="s">
        <v>1585</v>
      </c>
      <c r="K98" s="4" t="s">
        <v>615</v>
      </c>
      <c r="M98" s="213" t="s">
        <v>887</v>
      </c>
    </row>
    <row r="99" spans="1:14" ht="90" x14ac:dyDescent="0.25">
      <c r="A99" s="12" t="s">
        <v>874</v>
      </c>
      <c r="B99" s="12" t="s">
        <v>874</v>
      </c>
      <c r="C99" s="12"/>
      <c r="D99" s="12"/>
      <c r="E99" s="12"/>
      <c r="F99" s="12" t="s">
        <v>874</v>
      </c>
      <c r="G99" s="10" t="s">
        <v>57</v>
      </c>
      <c r="H99" s="10" t="s">
        <v>616</v>
      </c>
      <c r="I99" s="5" t="s">
        <v>1586</v>
      </c>
      <c r="J99" s="214" t="s">
        <v>2014</v>
      </c>
      <c r="K99" s="4" t="s">
        <v>1865</v>
      </c>
      <c r="M99" s="213" t="s">
        <v>887</v>
      </c>
      <c r="N99" s="213" t="s">
        <v>874</v>
      </c>
    </row>
    <row r="100" spans="1:14" ht="90" x14ac:dyDescent="0.25">
      <c r="A100" s="12"/>
      <c r="B100" s="12"/>
      <c r="C100" s="12"/>
      <c r="D100" s="12" t="s">
        <v>874</v>
      </c>
      <c r="E100" s="12"/>
      <c r="F100" s="12" t="s">
        <v>874</v>
      </c>
      <c r="G100" s="10" t="s">
        <v>57</v>
      </c>
      <c r="H100" s="10" t="s">
        <v>617</v>
      </c>
      <c r="I100" s="1" t="s">
        <v>209</v>
      </c>
      <c r="J100" s="4" t="s">
        <v>210</v>
      </c>
      <c r="N100" s="213" t="s">
        <v>874</v>
      </c>
    </row>
    <row r="101" spans="1:14" ht="150" x14ac:dyDescent="0.25">
      <c r="A101" s="12" t="s">
        <v>874</v>
      </c>
      <c r="B101" s="12" t="s">
        <v>874</v>
      </c>
      <c r="C101" s="12"/>
      <c r="D101" s="12"/>
      <c r="E101" s="12"/>
      <c r="F101" s="12" t="s">
        <v>874</v>
      </c>
      <c r="G101" s="10" t="s">
        <v>57</v>
      </c>
      <c r="H101" s="10" t="s">
        <v>618</v>
      </c>
      <c r="I101" s="5" t="s">
        <v>211</v>
      </c>
      <c r="J101" s="214" t="s">
        <v>2035</v>
      </c>
      <c r="M101" s="213" t="s">
        <v>887</v>
      </c>
      <c r="N101" s="213" t="s">
        <v>874</v>
      </c>
    </row>
    <row r="102" spans="1:14" ht="90" x14ac:dyDescent="0.25">
      <c r="A102" s="9" t="s">
        <v>874</v>
      </c>
      <c r="B102" s="9" t="s">
        <v>874</v>
      </c>
      <c r="C102" s="9"/>
      <c r="D102" s="9"/>
      <c r="E102" s="9"/>
      <c r="F102" s="9" t="s">
        <v>874</v>
      </c>
      <c r="G102" s="11" t="s">
        <v>57</v>
      </c>
      <c r="H102" s="11" t="s">
        <v>1360</v>
      </c>
      <c r="I102" s="11" t="s">
        <v>1362</v>
      </c>
      <c r="J102" s="11" t="s">
        <v>410</v>
      </c>
      <c r="K102" s="11" t="s">
        <v>1363</v>
      </c>
      <c r="L102" s="11"/>
      <c r="M102" s="11"/>
      <c r="N102" s="213" t="s">
        <v>874</v>
      </c>
    </row>
    <row r="103" spans="1:14" ht="30" x14ac:dyDescent="0.25">
      <c r="A103" s="12"/>
      <c r="B103" s="12"/>
      <c r="C103" s="12" t="s">
        <v>874</v>
      </c>
      <c r="D103" s="12"/>
      <c r="E103" s="12"/>
      <c r="F103" s="12"/>
      <c r="G103" s="10" t="s">
        <v>57</v>
      </c>
      <c r="H103" s="10" t="s">
        <v>619</v>
      </c>
      <c r="I103" s="186" t="s">
        <v>1204</v>
      </c>
      <c r="J103" s="186" t="s">
        <v>818</v>
      </c>
      <c r="K103" s="4" t="s">
        <v>620</v>
      </c>
    </row>
    <row r="104" spans="1:14" ht="90" x14ac:dyDescent="0.25">
      <c r="A104" s="12"/>
      <c r="B104" s="12" t="s">
        <v>874</v>
      </c>
      <c r="C104" s="12"/>
      <c r="D104" s="12"/>
      <c r="E104" s="12"/>
      <c r="F104" s="12" t="s">
        <v>874</v>
      </c>
      <c r="G104" s="10" t="s">
        <v>57</v>
      </c>
      <c r="H104" s="10" t="s">
        <v>621</v>
      </c>
      <c r="I104" s="187" t="s">
        <v>819</v>
      </c>
      <c r="J104" s="186" t="s">
        <v>820</v>
      </c>
      <c r="N104" s="213" t="s">
        <v>874</v>
      </c>
    </row>
    <row r="105" spans="1:14" ht="135" x14ac:dyDescent="0.25">
      <c r="A105" s="9"/>
      <c r="B105" s="9" t="s">
        <v>874</v>
      </c>
      <c r="C105" s="9" t="s">
        <v>874</v>
      </c>
      <c r="D105" s="9"/>
      <c r="E105" s="9"/>
      <c r="F105" s="9" t="s">
        <v>874</v>
      </c>
      <c r="G105" s="11" t="s">
        <v>57</v>
      </c>
      <c r="H105" s="11" t="s">
        <v>1687</v>
      </c>
      <c r="I105" s="11" t="s">
        <v>1385</v>
      </c>
      <c r="J105" s="5" t="s">
        <v>1640</v>
      </c>
      <c r="L105" s="4" t="s">
        <v>1376</v>
      </c>
      <c r="M105" s="4"/>
    </row>
    <row r="106" spans="1:14" ht="45" x14ac:dyDescent="0.25">
      <c r="A106" s="12"/>
      <c r="B106" s="12" t="s">
        <v>874</v>
      </c>
      <c r="C106" s="12"/>
      <c r="D106" s="12"/>
      <c r="E106" s="12"/>
      <c r="F106" s="12" t="s">
        <v>874</v>
      </c>
      <c r="G106" s="10" t="s">
        <v>57</v>
      </c>
      <c r="H106" s="13" t="s">
        <v>622</v>
      </c>
      <c r="I106" s="1" t="s">
        <v>212</v>
      </c>
      <c r="J106" s="4" t="s">
        <v>213</v>
      </c>
      <c r="K106" s="4" t="s">
        <v>623</v>
      </c>
    </row>
    <row r="107" spans="1:14" ht="30" x14ac:dyDescent="0.25">
      <c r="A107" s="12"/>
      <c r="B107" s="12"/>
      <c r="C107" s="12" t="s">
        <v>874</v>
      </c>
      <c r="D107" s="12"/>
      <c r="E107" s="12"/>
      <c r="F107" s="12"/>
      <c r="G107" s="10" t="s">
        <v>57</v>
      </c>
      <c r="H107" s="10" t="s">
        <v>624</v>
      </c>
      <c r="I107" s="1" t="s">
        <v>214</v>
      </c>
      <c r="J107" s="4" t="s">
        <v>215</v>
      </c>
      <c r="K107" s="4" t="s">
        <v>625</v>
      </c>
    </row>
    <row r="108" spans="1:14" ht="30" x14ac:dyDescent="0.25">
      <c r="A108" s="12" t="s">
        <v>874</v>
      </c>
      <c r="B108" s="12" t="s">
        <v>874</v>
      </c>
      <c r="C108" s="12"/>
      <c r="D108" s="12"/>
      <c r="E108" s="12"/>
      <c r="F108" s="12" t="s">
        <v>874</v>
      </c>
      <c r="G108" s="10" t="s">
        <v>57</v>
      </c>
      <c r="H108" s="10" t="s">
        <v>626</v>
      </c>
      <c r="I108" s="1" t="s">
        <v>216</v>
      </c>
      <c r="J108" s="214" t="s">
        <v>2040</v>
      </c>
      <c r="K108" s="4" t="s">
        <v>627</v>
      </c>
      <c r="M108" s="213" t="s">
        <v>887</v>
      </c>
    </row>
    <row r="109" spans="1:14" ht="45" x14ac:dyDescent="0.25">
      <c r="A109" s="12" t="s">
        <v>874</v>
      </c>
      <c r="B109" s="12" t="s">
        <v>874</v>
      </c>
      <c r="C109" s="12"/>
      <c r="D109" s="12"/>
      <c r="E109" s="12"/>
      <c r="F109" s="12" t="s">
        <v>874</v>
      </c>
      <c r="G109" s="10" t="s">
        <v>57</v>
      </c>
      <c r="H109" s="13" t="s">
        <v>628</v>
      </c>
      <c r="I109" s="1" t="s">
        <v>217</v>
      </c>
      <c r="J109" s="4" t="s">
        <v>218</v>
      </c>
      <c r="K109" s="4" t="s">
        <v>629</v>
      </c>
    </row>
    <row r="110" spans="1:14" ht="165" x14ac:dyDescent="0.25">
      <c r="A110" s="9"/>
      <c r="B110" s="9"/>
      <c r="C110" s="9" t="s">
        <v>874</v>
      </c>
      <c r="D110" s="9"/>
      <c r="E110" s="9"/>
      <c r="F110" s="9" t="s">
        <v>874</v>
      </c>
      <c r="G110" s="11" t="s">
        <v>57</v>
      </c>
      <c r="H110" s="11" t="s">
        <v>882</v>
      </c>
      <c r="I110" s="76" t="s">
        <v>907</v>
      </c>
      <c r="J110" s="5" t="s">
        <v>1062</v>
      </c>
      <c r="L110" s="4"/>
      <c r="M110" s="4"/>
    </row>
    <row r="111" spans="1:14" ht="45" x14ac:dyDescent="0.25">
      <c r="A111" s="12" t="s">
        <v>874</v>
      </c>
      <c r="B111" s="12" t="s">
        <v>874</v>
      </c>
      <c r="C111" s="12"/>
      <c r="D111" s="12"/>
      <c r="E111" s="12"/>
      <c r="F111" s="12" t="s">
        <v>874</v>
      </c>
      <c r="G111" s="10" t="s">
        <v>57</v>
      </c>
      <c r="H111" s="13" t="s">
        <v>630</v>
      </c>
      <c r="I111" s="1" t="s">
        <v>219</v>
      </c>
      <c r="J111" s="4" t="s">
        <v>1709</v>
      </c>
      <c r="K111" s="4" t="s">
        <v>631</v>
      </c>
    </row>
    <row r="112" spans="1:14" ht="90" x14ac:dyDescent="0.25">
      <c r="A112" s="12" t="s">
        <v>874</v>
      </c>
      <c r="B112" s="12" t="s">
        <v>874</v>
      </c>
      <c r="C112" s="12"/>
      <c r="D112" s="12"/>
      <c r="E112" s="12"/>
      <c r="F112" s="12" t="s">
        <v>874</v>
      </c>
      <c r="G112" s="10" t="s">
        <v>57</v>
      </c>
      <c r="H112" s="13" t="s">
        <v>632</v>
      </c>
      <c r="I112" s="2" t="s">
        <v>1907</v>
      </c>
      <c r="J112" s="5" t="s">
        <v>597</v>
      </c>
    </row>
    <row r="113" spans="1:14" ht="90" x14ac:dyDescent="0.25">
      <c r="A113" s="9" t="s">
        <v>874</v>
      </c>
      <c r="B113" s="9" t="s">
        <v>874</v>
      </c>
      <c r="C113" s="9"/>
      <c r="D113" s="9"/>
      <c r="E113" s="9"/>
      <c r="F113" s="9" t="s">
        <v>874</v>
      </c>
      <c r="G113" s="11" t="s">
        <v>57</v>
      </c>
      <c r="H113" s="11" t="s">
        <v>1881</v>
      </c>
      <c r="I113" s="11" t="s">
        <v>1641</v>
      </c>
      <c r="J113" s="11" t="s">
        <v>1359</v>
      </c>
      <c r="K113" s="11"/>
      <c r="L113" s="11"/>
      <c r="M113" s="11"/>
      <c r="N113" s="213" t="s">
        <v>874</v>
      </c>
    </row>
    <row r="114" spans="1:14" ht="90" x14ac:dyDescent="0.25">
      <c r="A114" s="9" t="s">
        <v>874</v>
      </c>
      <c r="B114" s="9" t="s">
        <v>874</v>
      </c>
      <c r="C114" s="9"/>
      <c r="D114" s="9"/>
      <c r="E114" s="9"/>
      <c r="F114" s="9" t="s">
        <v>874</v>
      </c>
      <c r="G114" s="11" t="s">
        <v>57</v>
      </c>
      <c r="H114" s="11" t="s">
        <v>1601</v>
      </c>
      <c r="I114" s="11" t="s">
        <v>1063</v>
      </c>
      <c r="J114" s="1" t="s">
        <v>2015</v>
      </c>
      <c r="K114" s="4" t="s">
        <v>1600</v>
      </c>
      <c r="L114" s="4"/>
      <c r="M114" s="214" t="s">
        <v>887</v>
      </c>
    </row>
    <row r="115" spans="1:14" ht="45" x14ac:dyDescent="0.25">
      <c r="A115" s="12" t="s">
        <v>874</v>
      </c>
      <c r="B115" s="12" t="s">
        <v>874</v>
      </c>
      <c r="C115" s="12"/>
      <c r="D115" s="12"/>
      <c r="E115" s="12"/>
      <c r="F115" s="12" t="s">
        <v>874</v>
      </c>
      <c r="G115" s="10" t="s">
        <v>57</v>
      </c>
      <c r="H115" s="13" t="s">
        <v>598</v>
      </c>
      <c r="I115" s="1" t="s">
        <v>1581</v>
      </c>
      <c r="J115" s="4" t="s">
        <v>1918</v>
      </c>
      <c r="K115" s="4" t="s">
        <v>599</v>
      </c>
      <c r="N115" s="213" t="s">
        <v>874</v>
      </c>
    </row>
    <row r="116" spans="1:14" ht="45" x14ac:dyDescent="0.25">
      <c r="A116" s="12" t="s">
        <v>874</v>
      </c>
      <c r="B116" s="12" t="s">
        <v>874</v>
      </c>
      <c r="C116" s="12"/>
      <c r="D116" s="12"/>
      <c r="E116" s="12"/>
      <c r="F116" s="12"/>
      <c r="G116" s="10" t="s">
        <v>57</v>
      </c>
      <c r="H116" s="13" t="s">
        <v>600</v>
      </c>
      <c r="I116" s="1" t="s">
        <v>1710</v>
      </c>
      <c r="J116" s="4" t="s">
        <v>1711</v>
      </c>
      <c r="K116" s="4" t="s">
        <v>601</v>
      </c>
    </row>
    <row r="117" spans="1:14" ht="90" x14ac:dyDescent="0.25">
      <c r="A117" s="12" t="s">
        <v>874</v>
      </c>
      <c r="B117" s="12" t="s">
        <v>874</v>
      </c>
      <c r="C117" s="12"/>
      <c r="D117" s="12"/>
      <c r="E117" s="12"/>
      <c r="F117" s="12" t="s">
        <v>874</v>
      </c>
      <c r="G117" s="10" t="s">
        <v>57</v>
      </c>
      <c r="H117" s="13" t="s">
        <v>602</v>
      </c>
      <c r="I117" s="5" t="s">
        <v>1712</v>
      </c>
      <c r="J117" s="4" t="s">
        <v>671</v>
      </c>
    </row>
    <row r="118" spans="1:14" ht="120" x14ac:dyDescent="0.25">
      <c r="A118" s="12" t="s">
        <v>874</v>
      </c>
      <c r="B118" s="12" t="s">
        <v>874</v>
      </c>
      <c r="C118" s="12"/>
      <c r="D118" s="12"/>
      <c r="E118" s="12"/>
      <c r="F118" s="12" t="s">
        <v>874</v>
      </c>
      <c r="G118" s="10" t="s">
        <v>57</v>
      </c>
      <c r="H118" s="13" t="s">
        <v>603</v>
      </c>
      <c r="I118" s="5" t="s">
        <v>1630</v>
      </c>
      <c r="J118" s="228" t="s">
        <v>2016</v>
      </c>
      <c r="M118" s="213" t="s">
        <v>887</v>
      </c>
      <c r="N118" s="213" t="s">
        <v>874</v>
      </c>
    </row>
    <row r="119" spans="1:14" ht="105" x14ac:dyDescent="0.25">
      <c r="A119" s="12" t="s">
        <v>874</v>
      </c>
      <c r="B119" s="12" t="s">
        <v>874</v>
      </c>
      <c r="C119" s="12"/>
      <c r="D119" s="12"/>
      <c r="E119" s="12"/>
      <c r="F119" s="12" t="s">
        <v>874</v>
      </c>
      <c r="G119" s="10" t="s">
        <v>57</v>
      </c>
      <c r="H119" s="13" t="s">
        <v>604</v>
      </c>
      <c r="I119" s="5" t="s">
        <v>1082</v>
      </c>
      <c r="J119" s="4" t="s">
        <v>1694</v>
      </c>
      <c r="N119" s="213" t="s">
        <v>874</v>
      </c>
    </row>
    <row r="120" spans="1:14" ht="120" customHeight="1" x14ac:dyDescent="0.25">
      <c r="A120" s="12"/>
      <c r="B120" s="12"/>
      <c r="C120" s="12"/>
      <c r="D120" s="12" t="s">
        <v>874</v>
      </c>
      <c r="E120" s="12"/>
      <c r="F120" s="12"/>
      <c r="G120" s="10" t="s">
        <v>57</v>
      </c>
      <c r="H120" s="13" t="s">
        <v>605</v>
      </c>
      <c r="I120" s="186" t="s">
        <v>821</v>
      </c>
      <c r="J120" s="186" t="s">
        <v>822</v>
      </c>
    </row>
    <row r="121" spans="1:14" ht="75" x14ac:dyDescent="0.25">
      <c r="A121" s="12" t="s">
        <v>874</v>
      </c>
      <c r="B121" s="12" t="s">
        <v>874</v>
      </c>
      <c r="C121" s="12"/>
      <c r="D121" s="12"/>
      <c r="E121" s="12"/>
      <c r="F121" s="12" t="s">
        <v>874</v>
      </c>
      <c r="G121" s="213" t="s">
        <v>57</v>
      </c>
      <c r="H121" s="10" t="s">
        <v>756</v>
      </c>
      <c r="I121" s="1" t="s">
        <v>1626</v>
      </c>
      <c r="J121" s="214" t="s">
        <v>1972</v>
      </c>
      <c r="K121" s="4" t="s">
        <v>757</v>
      </c>
      <c r="N121" s="213" t="s">
        <v>874</v>
      </c>
    </row>
    <row r="122" spans="1:14" ht="105" x14ac:dyDescent="0.25">
      <c r="A122" s="12" t="s">
        <v>874</v>
      </c>
      <c r="B122" s="12" t="s">
        <v>874</v>
      </c>
      <c r="C122" s="12"/>
      <c r="D122" s="12"/>
      <c r="E122" s="12"/>
      <c r="F122" s="12" t="s">
        <v>874</v>
      </c>
      <c r="G122" s="10" t="s">
        <v>57</v>
      </c>
      <c r="H122" s="13" t="s">
        <v>606</v>
      </c>
      <c r="I122" s="5" t="s">
        <v>1695</v>
      </c>
      <c r="J122" s="3" t="s">
        <v>1696</v>
      </c>
      <c r="K122" s="4" t="s">
        <v>607</v>
      </c>
    </row>
    <row r="123" spans="1:14" ht="105" x14ac:dyDescent="0.25">
      <c r="A123" s="121" t="s">
        <v>874</v>
      </c>
      <c r="B123" s="121" t="s">
        <v>874</v>
      </c>
      <c r="C123" s="121"/>
      <c r="D123" s="121"/>
      <c r="E123" s="121"/>
      <c r="F123" s="121" t="s">
        <v>874</v>
      </c>
      <c r="G123" s="118" t="s">
        <v>57</v>
      </c>
      <c r="H123" s="118" t="s">
        <v>824</v>
      </c>
      <c r="I123" s="119" t="s">
        <v>1632</v>
      </c>
      <c r="J123" s="120" t="s">
        <v>825</v>
      </c>
    </row>
    <row r="124" spans="1:14" ht="120" x14ac:dyDescent="0.25">
      <c r="A124" s="9"/>
      <c r="B124" s="9"/>
      <c r="C124" s="9" t="s">
        <v>874</v>
      </c>
      <c r="D124" s="9" t="s">
        <v>874</v>
      </c>
      <c r="E124" s="9" t="s">
        <v>874</v>
      </c>
      <c r="F124" s="9" t="s">
        <v>874</v>
      </c>
      <c r="G124" s="11" t="s">
        <v>57</v>
      </c>
      <c r="H124" s="11" t="s">
        <v>769</v>
      </c>
      <c r="I124" s="11" t="s">
        <v>770</v>
      </c>
      <c r="J124" s="5" t="s">
        <v>1416</v>
      </c>
      <c r="L124" s="4"/>
      <c r="M124" s="4"/>
    </row>
    <row r="125" spans="1:14" ht="60" x14ac:dyDescent="0.25">
      <c r="A125" s="9"/>
      <c r="B125" s="9"/>
      <c r="C125" s="9" t="s">
        <v>874</v>
      </c>
      <c r="D125" s="9"/>
      <c r="E125" s="9"/>
      <c r="F125" s="9" t="s">
        <v>874</v>
      </c>
      <c r="G125" s="11" t="s">
        <v>57</v>
      </c>
      <c r="H125" s="11" t="s">
        <v>1872</v>
      </c>
      <c r="I125" s="11" t="s">
        <v>1875</v>
      </c>
      <c r="J125" s="1" t="s">
        <v>1876</v>
      </c>
      <c r="K125" s="4" t="s">
        <v>608</v>
      </c>
      <c r="L125" s="4"/>
      <c r="M125" s="4"/>
    </row>
    <row r="126" spans="1:14" ht="45" x14ac:dyDescent="0.25">
      <c r="A126" s="12"/>
      <c r="B126" s="12"/>
      <c r="C126" s="12"/>
      <c r="D126" s="12" t="s">
        <v>874</v>
      </c>
      <c r="E126" s="12" t="s">
        <v>874</v>
      </c>
      <c r="F126" s="12" t="s">
        <v>874</v>
      </c>
      <c r="G126" s="10" t="s">
        <v>57</v>
      </c>
      <c r="H126" s="13" t="s">
        <v>609</v>
      </c>
      <c r="I126" s="2" t="s">
        <v>1908</v>
      </c>
      <c r="J126" s="1" t="s">
        <v>1713</v>
      </c>
      <c r="K126" s="4" t="s">
        <v>1446</v>
      </c>
    </row>
    <row r="127" spans="1:14" ht="45" x14ac:dyDescent="0.25">
      <c r="A127" s="12"/>
      <c r="B127" s="12"/>
      <c r="C127" s="12" t="s">
        <v>874</v>
      </c>
      <c r="D127" s="12"/>
      <c r="E127" s="12"/>
      <c r="F127" s="12" t="s">
        <v>874</v>
      </c>
      <c r="G127" s="10" t="s">
        <v>57</v>
      </c>
      <c r="H127" s="13" t="s">
        <v>1447</v>
      </c>
      <c r="I127" s="2" t="s">
        <v>1909</v>
      </c>
      <c r="J127" s="1" t="s">
        <v>1448</v>
      </c>
      <c r="N127" s="213" t="s">
        <v>874</v>
      </c>
    </row>
    <row r="128" spans="1:14" ht="45" x14ac:dyDescent="0.25">
      <c r="A128" s="12" t="s">
        <v>874</v>
      </c>
      <c r="B128" s="12" t="s">
        <v>874</v>
      </c>
      <c r="C128" s="12"/>
      <c r="D128" s="12"/>
      <c r="E128" s="12"/>
      <c r="F128" s="12" t="s">
        <v>874</v>
      </c>
      <c r="G128" s="184" t="s">
        <v>57</v>
      </c>
      <c r="H128" s="10" t="s">
        <v>1169</v>
      </c>
      <c r="I128" s="1" t="s">
        <v>1629</v>
      </c>
      <c r="J128" s="2" t="s">
        <v>290</v>
      </c>
      <c r="K128" s="4" t="s">
        <v>1764</v>
      </c>
    </row>
    <row r="129" spans="1:14" ht="105" x14ac:dyDescent="0.25">
      <c r="A129" s="9" t="s">
        <v>874</v>
      </c>
      <c r="B129" s="9" t="s">
        <v>874</v>
      </c>
      <c r="C129" s="9"/>
      <c r="D129" s="9"/>
      <c r="E129" s="9"/>
      <c r="F129" s="9" t="s">
        <v>874</v>
      </c>
      <c r="G129" s="214" t="s">
        <v>57</v>
      </c>
      <c r="H129" s="11" t="s">
        <v>869</v>
      </c>
      <c r="I129" s="7" t="s">
        <v>1356</v>
      </c>
      <c r="J129" s="214" t="s">
        <v>2003</v>
      </c>
      <c r="K129" s="8" t="s">
        <v>879</v>
      </c>
      <c r="L129" s="8"/>
      <c r="M129" s="214" t="s">
        <v>887</v>
      </c>
    </row>
    <row r="130" spans="1:14" ht="60" x14ac:dyDescent="0.25">
      <c r="A130" s="12"/>
      <c r="B130" s="12"/>
      <c r="C130" s="12"/>
      <c r="D130" s="12" t="s">
        <v>874</v>
      </c>
      <c r="E130" s="12" t="s">
        <v>874</v>
      </c>
      <c r="F130" s="12" t="s">
        <v>874</v>
      </c>
      <c r="G130" s="10" t="s">
        <v>57</v>
      </c>
      <c r="H130" s="13" t="s">
        <v>1449</v>
      </c>
      <c r="I130" s="1" t="s">
        <v>1789</v>
      </c>
      <c r="J130" s="4" t="s">
        <v>1790</v>
      </c>
      <c r="N130" s="213" t="s">
        <v>874</v>
      </c>
    </row>
    <row r="131" spans="1:14" ht="75" x14ac:dyDescent="0.25">
      <c r="A131" s="9"/>
      <c r="B131" s="9" t="s">
        <v>874</v>
      </c>
      <c r="C131" s="9" t="s">
        <v>874</v>
      </c>
      <c r="D131" s="9" t="s">
        <v>874</v>
      </c>
      <c r="E131" s="9" t="s">
        <v>874</v>
      </c>
      <c r="F131" s="9" t="s">
        <v>874</v>
      </c>
      <c r="G131" s="11" t="s">
        <v>57</v>
      </c>
      <c r="H131" s="11" t="s">
        <v>1377</v>
      </c>
      <c r="I131" s="11" t="s">
        <v>1378</v>
      </c>
      <c r="J131" s="5" t="s">
        <v>1599</v>
      </c>
      <c r="L131" s="4" t="s">
        <v>1379</v>
      </c>
      <c r="M131" s="4"/>
      <c r="N131" s="213" t="s">
        <v>874</v>
      </c>
    </row>
  </sheetData>
  <autoFilter ref="A1:Y131" xr:uid="{00000000-0009-0000-0000-000006000000}">
    <sortState xmlns:xlrd2="http://schemas.microsoft.com/office/spreadsheetml/2017/richdata2" ref="A2:Y131">
      <sortCondition ref="G1:G131"/>
    </sortState>
  </autoFilter>
  <phoneticPr fontId="6" type="noConversion"/>
  <conditionalFormatting sqref="A1:F1048576">
    <cfRule type="cellIs" dxfId="0" priority="1" stopIfTrue="1" operator="equal">
      <formula>"x"</formula>
    </cfRule>
  </conditionalFormatting>
  <pageMargins left="0.75" right="0.75" top="1" bottom="1" header="0.5" footer="0.5"/>
  <pageSetup paperSize="9" orientation="portrait" vertic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50"/>
  </sheetPr>
  <dimension ref="A2:E51"/>
  <sheetViews>
    <sheetView workbookViewId="0"/>
  </sheetViews>
  <sheetFormatPr defaultRowHeight="15" x14ac:dyDescent="0.25"/>
  <cols>
    <col min="2" max="2" width="14.7109375" bestFit="1" customWidth="1"/>
    <col min="3" max="3" width="21" bestFit="1" customWidth="1"/>
    <col min="4" max="4" width="14" bestFit="1" customWidth="1"/>
    <col min="5" max="5" width="56.85546875" bestFit="1" customWidth="1"/>
  </cols>
  <sheetData>
    <row r="2" spans="1:5" x14ac:dyDescent="0.25">
      <c r="A2" s="94" t="s">
        <v>88</v>
      </c>
      <c r="B2" s="71" t="s">
        <v>89</v>
      </c>
      <c r="C2" s="71" t="s">
        <v>121</v>
      </c>
      <c r="D2" s="71" t="s">
        <v>90</v>
      </c>
      <c r="E2" s="71" t="s">
        <v>91</v>
      </c>
    </row>
    <row r="3" spans="1:5" x14ac:dyDescent="0.25">
      <c r="A3" s="23">
        <v>1</v>
      </c>
      <c r="B3">
        <v>1</v>
      </c>
      <c r="C3" t="s">
        <v>92</v>
      </c>
      <c r="D3" t="s">
        <v>93</v>
      </c>
      <c r="E3" t="s">
        <v>94</v>
      </c>
    </row>
    <row r="4" spans="1:5" x14ac:dyDescent="0.25">
      <c r="A4" s="23">
        <v>2</v>
      </c>
      <c r="B4">
        <v>2</v>
      </c>
      <c r="C4" t="s">
        <v>95</v>
      </c>
      <c r="D4" t="s">
        <v>96</v>
      </c>
      <c r="E4" t="s">
        <v>97</v>
      </c>
    </row>
    <row r="5" spans="1:5" x14ac:dyDescent="0.25">
      <c r="A5" s="23">
        <v>3</v>
      </c>
      <c r="B5">
        <v>4</v>
      </c>
      <c r="C5" t="s">
        <v>98</v>
      </c>
      <c r="D5" t="s">
        <v>99</v>
      </c>
      <c r="E5" t="s">
        <v>100</v>
      </c>
    </row>
    <row r="6" spans="1:5" x14ac:dyDescent="0.25">
      <c r="A6" s="23">
        <v>4</v>
      </c>
      <c r="B6">
        <v>8</v>
      </c>
      <c r="C6" t="s">
        <v>101</v>
      </c>
      <c r="D6" t="s">
        <v>102</v>
      </c>
      <c r="E6" t="s">
        <v>103</v>
      </c>
    </row>
    <row r="7" spans="1:5" x14ac:dyDescent="0.25">
      <c r="A7" s="23">
        <v>5</v>
      </c>
      <c r="B7">
        <v>16</v>
      </c>
      <c r="C7" t="s">
        <v>104</v>
      </c>
      <c r="D7" t="s">
        <v>105</v>
      </c>
      <c r="E7" t="s">
        <v>106</v>
      </c>
    </row>
    <row r="8" spans="1:5" x14ac:dyDescent="0.25">
      <c r="A8" s="23">
        <v>6</v>
      </c>
      <c r="B8">
        <v>32</v>
      </c>
      <c r="C8" t="s">
        <v>107</v>
      </c>
      <c r="D8" t="s">
        <v>108</v>
      </c>
      <c r="E8" t="s">
        <v>109</v>
      </c>
    </row>
    <row r="9" spans="1:5" x14ac:dyDescent="0.25">
      <c r="A9" s="23">
        <v>7</v>
      </c>
      <c r="B9">
        <v>64</v>
      </c>
      <c r="C9" t="s">
        <v>110</v>
      </c>
      <c r="D9" t="s">
        <v>111</v>
      </c>
      <c r="E9" t="s">
        <v>112</v>
      </c>
    </row>
    <row r="10" spans="1:5" x14ac:dyDescent="0.25">
      <c r="A10" s="23">
        <v>8</v>
      </c>
      <c r="B10">
        <v>128</v>
      </c>
      <c r="C10" t="s">
        <v>749</v>
      </c>
      <c r="D10" t="s">
        <v>113</v>
      </c>
      <c r="E10" t="s">
        <v>114</v>
      </c>
    </row>
    <row r="11" spans="1:5" x14ac:dyDescent="0.25">
      <c r="A11" s="23">
        <v>9</v>
      </c>
      <c r="B11">
        <v>256</v>
      </c>
      <c r="C11" t="s">
        <v>115</v>
      </c>
      <c r="D11" t="s">
        <v>116</v>
      </c>
      <c r="E11" t="s">
        <v>117</v>
      </c>
    </row>
    <row r="12" spans="1:5" x14ac:dyDescent="0.25">
      <c r="A12" s="23">
        <v>10</v>
      </c>
      <c r="B12">
        <v>512</v>
      </c>
      <c r="C12" t="s">
        <v>118</v>
      </c>
      <c r="D12" t="s">
        <v>119</v>
      </c>
      <c r="E12" t="s">
        <v>120</v>
      </c>
    </row>
    <row r="15" spans="1:5" x14ac:dyDescent="0.25">
      <c r="A15" s="94" t="s">
        <v>88</v>
      </c>
      <c r="B15" s="71" t="s">
        <v>89</v>
      </c>
      <c r="C15" s="71" t="s">
        <v>121</v>
      </c>
      <c r="D15" s="71" t="s">
        <v>90</v>
      </c>
      <c r="E15" s="71" t="s">
        <v>91</v>
      </c>
    </row>
    <row r="16" spans="1:5" x14ac:dyDescent="0.25">
      <c r="A16" s="23">
        <v>1</v>
      </c>
      <c r="B16">
        <v>1</v>
      </c>
      <c r="C16" t="s">
        <v>92</v>
      </c>
      <c r="D16" t="s">
        <v>93</v>
      </c>
      <c r="E16" t="s">
        <v>94</v>
      </c>
    </row>
    <row r="17" spans="1:5" x14ac:dyDescent="0.25">
      <c r="A17" s="23">
        <v>2</v>
      </c>
      <c r="B17">
        <v>2</v>
      </c>
      <c r="C17" t="s">
        <v>95</v>
      </c>
      <c r="D17" t="s">
        <v>96</v>
      </c>
      <c r="E17" t="s">
        <v>97</v>
      </c>
    </row>
    <row r="18" spans="1:5" x14ac:dyDescent="0.25">
      <c r="A18" s="23">
        <v>3</v>
      </c>
      <c r="B18">
        <v>4</v>
      </c>
      <c r="C18" t="s">
        <v>98</v>
      </c>
      <c r="D18" t="s">
        <v>99</v>
      </c>
      <c r="E18" t="s">
        <v>100</v>
      </c>
    </row>
    <row r="19" spans="1:5" x14ac:dyDescent="0.25">
      <c r="A19" s="23">
        <v>4</v>
      </c>
      <c r="B19">
        <v>8</v>
      </c>
      <c r="C19" t="s">
        <v>101</v>
      </c>
      <c r="D19" t="s">
        <v>102</v>
      </c>
      <c r="E19" t="s">
        <v>103</v>
      </c>
    </row>
    <row r="20" spans="1:5" x14ac:dyDescent="0.25">
      <c r="A20" s="23">
        <v>5</v>
      </c>
      <c r="B20">
        <v>16</v>
      </c>
      <c r="C20" t="s">
        <v>104</v>
      </c>
      <c r="D20" t="s">
        <v>105</v>
      </c>
      <c r="E20" t="s">
        <v>106</v>
      </c>
    </row>
    <row r="21" spans="1:5" x14ac:dyDescent="0.25">
      <c r="A21" s="23">
        <v>6</v>
      </c>
      <c r="B21">
        <v>32</v>
      </c>
      <c r="C21" t="s">
        <v>107</v>
      </c>
      <c r="D21" t="s">
        <v>108</v>
      </c>
      <c r="E21" t="s">
        <v>109</v>
      </c>
    </row>
    <row r="22" spans="1:5" x14ac:dyDescent="0.25">
      <c r="A22" s="23">
        <v>7</v>
      </c>
      <c r="B22">
        <v>64</v>
      </c>
      <c r="C22" t="s">
        <v>110</v>
      </c>
      <c r="D22" t="s">
        <v>111</v>
      </c>
      <c r="E22" t="s">
        <v>112</v>
      </c>
    </row>
    <row r="23" spans="1:5" x14ac:dyDescent="0.25">
      <c r="A23" s="23">
        <v>8</v>
      </c>
      <c r="B23">
        <v>128</v>
      </c>
      <c r="C23" t="s">
        <v>749</v>
      </c>
      <c r="D23" t="s">
        <v>113</v>
      </c>
      <c r="E23" t="s">
        <v>114</v>
      </c>
    </row>
    <row r="24" spans="1:5" x14ac:dyDescent="0.25">
      <c r="A24" s="23">
        <v>9</v>
      </c>
      <c r="B24">
        <v>256</v>
      </c>
      <c r="C24" t="s">
        <v>115</v>
      </c>
      <c r="D24" t="s">
        <v>116</v>
      </c>
      <c r="E24" t="s">
        <v>117</v>
      </c>
    </row>
    <row r="25" spans="1:5" x14ac:dyDescent="0.25">
      <c r="A25" s="23">
        <v>10</v>
      </c>
      <c r="B25">
        <v>512</v>
      </c>
      <c r="C25" t="s">
        <v>118</v>
      </c>
      <c r="D25" t="s">
        <v>119</v>
      </c>
      <c r="E25" t="s">
        <v>120</v>
      </c>
    </row>
    <row r="28" spans="1:5" x14ac:dyDescent="0.25">
      <c r="A28" s="94" t="s">
        <v>88</v>
      </c>
      <c r="B28" s="71" t="s">
        <v>89</v>
      </c>
      <c r="C28" s="71" t="s">
        <v>121</v>
      </c>
      <c r="D28" s="71" t="s">
        <v>90</v>
      </c>
      <c r="E28" s="71" t="s">
        <v>91</v>
      </c>
    </row>
    <row r="29" spans="1:5" x14ac:dyDescent="0.25">
      <c r="A29" s="23">
        <v>1</v>
      </c>
      <c r="B29">
        <v>1</v>
      </c>
      <c r="C29" t="s">
        <v>92</v>
      </c>
      <c r="D29" t="s">
        <v>93</v>
      </c>
      <c r="E29" t="s">
        <v>94</v>
      </c>
    </row>
    <row r="30" spans="1:5" x14ac:dyDescent="0.25">
      <c r="A30" s="23">
        <v>2</v>
      </c>
      <c r="B30">
        <v>2</v>
      </c>
      <c r="C30" t="s">
        <v>95</v>
      </c>
      <c r="D30" t="s">
        <v>96</v>
      </c>
      <c r="E30" t="s">
        <v>97</v>
      </c>
    </row>
    <row r="31" spans="1:5" x14ac:dyDescent="0.25">
      <c r="A31" s="23">
        <v>3</v>
      </c>
      <c r="B31">
        <v>4</v>
      </c>
      <c r="C31" t="s">
        <v>98</v>
      </c>
      <c r="D31" t="s">
        <v>99</v>
      </c>
      <c r="E31" t="s">
        <v>100</v>
      </c>
    </row>
    <row r="32" spans="1:5" x14ac:dyDescent="0.25">
      <c r="A32" s="23">
        <v>4</v>
      </c>
      <c r="B32">
        <v>8</v>
      </c>
      <c r="C32" t="s">
        <v>101</v>
      </c>
      <c r="D32" t="s">
        <v>102</v>
      </c>
      <c r="E32" t="s">
        <v>103</v>
      </c>
    </row>
    <row r="33" spans="1:5" x14ac:dyDescent="0.25">
      <c r="A33" s="23">
        <v>5</v>
      </c>
      <c r="B33">
        <v>16</v>
      </c>
      <c r="C33" t="s">
        <v>104</v>
      </c>
      <c r="D33" t="s">
        <v>105</v>
      </c>
      <c r="E33" t="s">
        <v>106</v>
      </c>
    </row>
    <row r="34" spans="1:5" x14ac:dyDescent="0.25">
      <c r="A34" s="23">
        <v>6</v>
      </c>
      <c r="B34">
        <v>32</v>
      </c>
      <c r="C34" t="s">
        <v>107</v>
      </c>
      <c r="D34" t="s">
        <v>108</v>
      </c>
      <c r="E34" t="s">
        <v>109</v>
      </c>
    </row>
    <row r="35" spans="1:5" x14ac:dyDescent="0.25">
      <c r="A35" s="23">
        <v>7</v>
      </c>
      <c r="B35">
        <v>64</v>
      </c>
      <c r="C35" t="s">
        <v>110</v>
      </c>
      <c r="D35" t="s">
        <v>111</v>
      </c>
      <c r="E35" t="s">
        <v>112</v>
      </c>
    </row>
    <row r="36" spans="1:5" x14ac:dyDescent="0.25">
      <c r="A36" s="23">
        <v>8</v>
      </c>
      <c r="B36">
        <v>128</v>
      </c>
      <c r="C36" t="s">
        <v>749</v>
      </c>
      <c r="D36" t="s">
        <v>113</v>
      </c>
      <c r="E36" t="s">
        <v>114</v>
      </c>
    </row>
    <row r="37" spans="1:5" x14ac:dyDescent="0.25">
      <c r="A37" s="23">
        <v>9</v>
      </c>
      <c r="B37">
        <v>256</v>
      </c>
      <c r="C37" t="s">
        <v>115</v>
      </c>
      <c r="D37" t="s">
        <v>116</v>
      </c>
      <c r="E37" t="s">
        <v>117</v>
      </c>
    </row>
    <row r="38" spans="1:5" x14ac:dyDescent="0.25">
      <c r="A38" s="23">
        <v>10</v>
      </c>
      <c r="B38">
        <v>512</v>
      </c>
      <c r="C38" t="s">
        <v>118</v>
      </c>
      <c r="D38" t="s">
        <v>119</v>
      </c>
      <c r="E38" t="s">
        <v>120</v>
      </c>
    </row>
    <row r="41" spans="1:5" x14ac:dyDescent="0.25">
      <c r="A41" s="94" t="s">
        <v>88</v>
      </c>
      <c r="B41" s="71" t="s">
        <v>89</v>
      </c>
      <c r="C41" s="71" t="s">
        <v>121</v>
      </c>
      <c r="D41" s="71" t="s">
        <v>90</v>
      </c>
      <c r="E41" s="71" t="s">
        <v>91</v>
      </c>
    </row>
    <row r="42" spans="1:5" x14ac:dyDescent="0.25">
      <c r="A42" s="23">
        <v>1</v>
      </c>
      <c r="B42">
        <v>1</v>
      </c>
      <c r="C42" t="s">
        <v>92</v>
      </c>
      <c r="D42" t="s">
        <v>93</v>
      </c>
      <c r="E42" t="s">
        <v>94</v>
      </c>
    </row>
    <row r="43" spans="1:5" x14ac:dyDescent="0.25">
      <c r="A43" s="23">
        <v>2</v>
      </c>
      <c r="B43">
        <v>2</v>
      </c>
      <c r="C43" t="s">
        <v>95</v>
      </c>
      <c r="D43" t="s">
        <v>96</v>
      </c>
      <c r="E43" t="s">
        <v>97</v>
      </c>
    </row>
    <row r="44" spans="1:5" x14ac:dyDescent="0.25">
      <c r="A44" s="23">
        <v>3</v>
      </c>
      <c r="B44">
        <v>4</v>
      </c>
      <c r="C44" t="s">
        <v>98</v>
      </c>
      <c r="D44" t="s">
        <v>99</v>
      </c>
      <c r="E44" t="s">
        <v>100</v>
      </c>
    </row>
    <row r="45" spans="1:5" x14ac:dyDescent="0.25">
      <c r="A45" s="23">
        <v>4</v>
      </c>
      <c r="B45">
        <v>8</v>
      </c>
      <c r="C45" t="s">
        <v>101</v>
      </c>
      <c r="D45" t="s">
        <v>102</v>
      </c>
      <c r="E45" t="s">
        <v>103</v>
      </c>
    </row>
    <row r="46" spans="1:5" x14ac:dyDescent="0.25">
      <c r="A46" s="23">
        <v>5</v>
      </c>
      <c r="B46">
        <v>16</v>
      </c>
      <c r="C46" t="s">
        <v>104</v>
      </c>
      <c r="D46" t="s">
        <v>105</v>
      </c>
      <c r="E46" t="s">
        <v>106</v>
      </c>
    </row>
    <row r="47" spans="1:5" x14ac:dyDescent="0.25">
      <c r="A47" s="23">
        <v>6</v>
      </c>
      <c r="B47">
        <v>32</v>
      </c>
      <c r="C47" t="s">
        <v>107</v>
      </c>
      <c r="D47" t="s">
        <v>108</v>
      </c>
      <c r="E47" t="s">
        <v>109</v>
      </c>
    </row>
    <row r="48" spans="1:5" x14ac:dyDescent="0.25">
      <c r="A48" s="23">
        <v>7</v>
      </c>
      <c r="B48">
        <v>64</v>
      </c>
      <c r="C48" t="s">
        <v>110</v>
      </c>
      <c r="D48" t="s">
        <v>111</v>
      </c>
      <c r="E48" t="s">
        <v>112</v>
      </c>
    </row>
    <row r="49" spans="1:5" x14ac:dyDescent="0.25">
      <c r="A49" s="23">
        <v>8</v>
      </c>
      <c r="B49">
        <v>128</v>
      </c>
      <c r="C49" t="s">
        <v>749</v>
      </c>
      <c r="D49" t="s">
        <v>113</v>
      </c>
      <c r="E49" t="s">
        <v>114</v>
      </c>
    </row>
    <row r="50" spans="1:5" x14ac:dyDescent="0.25">
      <c r="A50" s="23">
        <v>9</v>
      </c>
      <c r="B50">
        <v>256</v>
      </c>
      <c r="C50" t="s">
        <v>115</v>
      </c>
      <c r="D50" t="s">
        <v>116</v>
      </c>
      <c r="E50" t="s">
        <v>117</v>
      </c>
    </row>
    <row r="51" spans="1:5" x14ac:dyDescent="0.25">
      <c r="A51" s="23">
        <v>10</v>
      </c>
      <c r="B51">
        <v>512</v>
      </c>
      <c r="C51" t="s">
        <v>118</v>
      </c>
      <c r="D51" t="s">
        <v>119</v>
      </c>
      <c r="E51" t="s">
        <v>120</v>
      </c>
    </row>
  </sheetData>
  <phoneticPr fontId="6" type="noConversion"/>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indexed="50"/>
  </sheetPr>
  <dimension ref="A1:I62"/>
  <sheetViews>
    <sheetView zoomScale="85" workbookViewId="0">
      <pane ySplit="1" topLeftCell="A2" activePane="bottomLeft" state="frozen"/>
      <selection pane="bottomLeft" activeCell="A41" sqref="A41"/>
    </sheetView>
  </sheetViews>
  <sheetFormatPr defaultColWidth="26.42578125" defaultRowHeight="15" x14ac:dyDescent="0.25"/>
  <cols>
    <col min="1" max="1" width="26.42578125" style="147"/>
    <col min="2" max="2" width="11.140625" style="147" customWidth="1"/>
    <col min="3" max="3" width="32.42578125" style="200" bestFit="1" customWidth="1"/>
    <col min="4" max="4" width="11.85546875" style="201" customWidth="1"/>
    <col min="5" max="5" width="8.85546875" style="147" customWidth="1"/>
    <col min="6" max="6" width="26.42578125" style="147"/>
    <col min="7" max="7" width="11.5703125" style="147" customWidth="1"/>
    <col min="8" max="8" width="42.140625" style="200" customWidth="1"/>
    <col min="9" max="16384" width="26.42578125" style="147"/>
  </cols>
  <sheetData>
    <row r="1" spans="1:9" x14ac:dyDescent="0.25">
      <c r="A1" s="150" t="s">
        <v>1068</v>
      </c>
      <c r="B1" s="150" t="s">
        <v>1348</v>
      </c>
      <c r="C1" s="199" t="s">
        <v>1349</v>
      </c>
      <c r="D1" s="199" t="s">
        <v>1404</v>
      </c>
      <c r="E1" s="206"/>
      <c r="F1" s="150" t="s">
        <v>1116</v>
      </c>
      <c r="G1" s="150" t="s">
        <v>1348</v>
      </c>
      <c r="H1" s="199" t="s">
        <v>1349</v>
      </c>
      <c r="I1" s="199" t="s">
        <v>1404</v>
      </c>
    </row>
    <row r="2" spans="1:9" ht="30" x14ac:dyDescent="0.25">
      <c r="A2" s="147" t="s">
        <v>1117</v>
      </c>
      <c r="B2" s="148">
        <v>1</v>
      </c>
      <c r="C2" s="200" t="s">
        <v>1388</v>
      </c>
      <c r="D2" s="200" t="s">
        <v>1405</v>
      </c>
      <c r="E2" s="146"/>
      <c r="F2" s="202" t="s">
        <v>892</v>
      </c>
      <c r="G2" s="203">
        <v>1</v>
      </c>
      <c r="H2" s="200" t="s">
        <v>1823</v>
      </c>
      <c r="I2" s="204" t="s">
        <v>1406</v>
      </c>
    </row>
    <row r="3" spans="1:9" ht="30" x14ac:dyDescent="0.25">
      <c r="A3" s="147" t="s">
        <v>1353</v>
      </c>
      <c r="B3" s="148">
        <v>1</v>
      </c>
      <c r="C3" s="200" t="s">
        <v>1354</v>
      </c>
      <c r="D3" s="200" t="s">
        <v>1405</v>
      </c>
      <c r="F3" s="146" t="s">
        <v>1161</v>
      </c>
      <c r="G3" s="148">
        <v>1</v>
      </c>
      <c r="H3" s="200" t="s">
        <v>1162</v>
      </c>
      <c r="I3" s="147" t="s">
        <v>1406</v>
      </c>
    </row>
    <row r="4" spans="1:9" ht="30" x14ac:dyDescent="0.25">
      <c r="A4" s="147" t="s">
        <v>1118</v>
      </c>
      <c r="B4" s="148">
        <v>1</v>
      </c>
      <c r="C4" s="200" t="s">
        <v>1455</v>
      </c>
      <c r="D4" s="200" t="s">
        <v>1406</v>
      </c>
      <c r="F4" s="146" t="s">
        <v>1163</v>
      </c>
      <c r="G4" s="148">
        <v>1</v>
      </c>
      <c r="H4" s="200" t="s">
        <v>161</v>
      </c>
      <c r="I4" s="147" t="s">
        <v>1406</v>
      </c>
    </row>
    <row r="5" spans="1:9" x14ac:dyDescent="0.25">
      <c r="A5" s="147" t="s">
        <v>1119</v>
      </c>
      <c r="B5" s="148">
        <v>1</v>
      </c>
      <c r="C5" s="200" t="s">
        <v>1389</v>
      </c>
      <c r="D5" s="200" t="s">
        <v>1406</v>
      </c>
      <c r="F5" s="202" t="s">
        <v>1825</v>
      </c>
      <c r="G5" s="203">
        <v>1</v>
      </c>
      <c r="H5" s="200" t="s">
        <v>1826</v>
      </c>
      <c r="I5" s="204" t="s">
        <v>1406</v>
      </c>
    </row>
    <row r="6" spans="1:9" ht="45" x14ac:dyDescent="0.25">
      <c r="A6" s="147" t="s">
        <v>1120</v>
      </c>
      <c r="B6" s="148">
        <v>1</v>
      </c>
      <c r="C6" s="200" t="s">
        <v>1394</v>
      </c>
      <c r="D6" s="200" t="s">
        <v>1408</v>
      </c>
      <c r="F6" s="202" t="s">
        <v>1827</v>
      </c>
      <c r="G6" s="203">
        <v>1</v>
      </c>
      <c r="H6" s="200" t="s">
        <v>1567</v>
      </c>
      <c r="I6" s="204" t="s">
        <v>1406</v>
      </c>
    </row>
    <row r="7" spans="1:9" ht="60" x14ac:dyDescent="0.25">
      <c r="A7" s="147" t="s">
        <v>1121</v>
      </c>
      <c r="B7" s="148">
        <v>1</v>
      </c>
      <c r="C7" s="200" t="s">
        <v>849</v>
      </c>
      <c r="D7" s="200" t="s">
        <v>1405</v>
      </c>
      <c r="F7" s="146" t="s">
        <v>248</v>
      </c>
      <c r="G7" s="148">
        <v>1</v>
      </c>
      <c r="H7" s="200" t="s">
        <v>908</v>
      </c>
      <c r="I7" s="147" t="s">
        <v>1406</v>
      </c>
    </row>
    <row r="8" spans="1:9" ht="30" x14ac:dyDescent="0.25">
      <c r="A8" s="147" t="s">
        <v>1122</v>
      </c>
      <c r="B8" s="148">
        <v>1</v>
      </c>
      <c r="C8" s="200" t="s">
        <v>1390</v>
      </c>
      <c r="D8" s="200" t="s">
        <v>1405</v>
      </c>
      <c r="E8" s="146"/>
      <c r="F8" s="146" t="s">
        <v>1165</v>
      </c>
      <c r="G8" s="148">
        <v>1</v>
      </c>
      <c r="H8" s="200" t="s">
        <v>162</v>
      </c>
      <c r="I8" s="204" t="s">
        <v>1406</v>
      </c>
    </row>
    <row r="9" spans="1:9" ht="30" x14ac:dyDescent="0.25">
      <c r="A9" s="147" t="s">
        <v>1123</v>
      </c>
      <c r="B9" s="148">
        <v>1</v>
      </c>
      <c r="C9" s="200" t="s">
        <v>1391</v>
      </c>
      <c r="D9" s="200" t="s">
        <v>1405</v>
      </c>
      <c r="E9" s="146"/>
      <c r="F9" s="146" t="s">
        <v>1166</v>
      </c>
      <c r="G9" s="148">
        <v>1</v>
      </c>
      <c r="H9" s="200" t="s">
        <v>1167</v>
      </c>
      <c r="I9" s="204" t="s">
        <v>1406</v>
      </c>
    </row>
    <row r="10" spans="1:9" ht="60" x14ac:dyDescent="0.25">
      <c r="A10" s="147" t="s">
        <v>1124</v>
      </c>
      <c r="B10" s="148">
        <v>1</v>
      </c>
      <c r="C10" s="200" t="s">
        <v>319</v>
      </c>
      <c r="D10" s="200" t="s">
        <v>1405</v>
      </c>
      <c r="E10" s="146"/>
      <c r="F10" s="146" t="s">
        <v>228</v>
      </c>
      <c r="G10" s="148">
        <v>1</v>
      </c>
      <c r="H10" s="200" t="s">
        <v>163</v>
      </c>
      <c r="I10" s="204" t="s">
        <v>1406</v>
      </c>
    </row>
    <row r="11" spans="1:9" x14ac:dyDescent="0.25">
      <c r="A11" s="147" t="s">
        <v>1125</v>
      </c>
      <c r="B11" s="148">
        <v>1</v>
      </c>
      <c r="C11" s="200" t="s">
        <v>1392</v>
      </c>
      <c r="D11" s="200" t="s">
        <v>1405</v>
      </c>
      <c r="E11" s="146"/>
      <c r="F11" s="146" t="s">
        <v>229</v>
      </c>
      <c r="G11" s="148">
        <v>1</v>
      </c>
      <c r="H11" s="200" t="s">
        <v>909</v>
      </c>
      <c r="I11" s="204" t="s">
        <v>1406</v>
      </c>
    </row>
    <row r="12" spans="1:9" x14ac:dyDescent="0.25">
      <c r="A12" s="147" t="s">
        <v>1126</v>
      </c>
      <c r="B12" s="148">
        <v>1</v>
      </c>
      <c r="C12" s="200" t="s">
        <v>1393</v>
      </c>
      <c r="D12" s="200" t="s">
        <v>1405</v>
      </c>
      <c r="E12" s="146"/>
      <c r="F12" s="146" t="s">
        <v>230</v>
      </c>
      <c r="G12" s="148">
        <v>1</v>
      </c>
      <c r="H12" s="200" t="s">
        <v>910</v>
      </c>
      <c r="I12" s="204" t="s">
        <v>1406</v>
      </c>
    </row>
    <row r="13" spans="1:9" ht="120" x14ac:dyDescent="0.25">
      <c r="A13" s="147" t="s">
        <v>1127</v>
      </c>
      <c r="B13" s="148">
        <v>1</v>
      </c>
      <c r="C13" s="200" t="s">
        <v>1456</v>
      </c>
      <c r="D13" s="200" t="s">
        <v>1406</v>
      </c>
      <c r="E13" s="146"/>
      <c r="F13" s="146" t="s">
        <v>231</v>
      </c>
      <c r="G13" s="148">
        <v>1</v>
      </c>
      <c r="H13" s="205" t="s">
        <v>636</v>
      </c>
      <c r="I13" s="204" t="s">
        <v>1405</v>
      </c>
    </row>
    <row r="14" spans="1:9" ht="45" x14ac:dyDescent="0.25">
      <c r="A14" s="147" t="s">
        <v>1128</v>
      </c>
      <c r="B14" s="148">
        <v>1</v>
      </c>
      <c r="C14" s="200" t="s">
        <v>1457</v>
      </c>
      <c r="D14" s="200" t="s">
        <v>1408</v>
      </c>
      <c r="E14" s="146"/>
      <c r="F14" s="146" t="s">
        <v>233</v>
      </c>
      <c r="G14" s="148">
        <v>1</v>
      </c>
      <c r="H14" s="200" t="s">
        <v>234</v>
      </c>
      <c r="I14" s="204" t="s">
        <v>1406</v>
      </c>
    </row>
    <row r="15" spans="1:9" x14ac:dyDescent="0.25">
      <c r="A15" s="147" t="s">
        <v>1129</v>
      </c>
      <c r="B15" s="148">
        <v>1</v>
      </c>
      <c r="C15" s="200" t="s">
        <v>1395</v>
      </c>
      <c r="D15" s="200" t="s">
        <v>1406</v>
      </c>
      <c r="E15" s="146"/>
      <c r="F15" s="146" t="s">
        <v>235</v>
      </c>
      <c r="G15" s="148">
        <v>1</v>
      </c>
      <c r="H15" s="200" t="s">
        <v>739</v>
      </c>
      <c r="I15" s="204" t="s">
        <v>1406</v>
      </c>
    </row>
    <row r="16" spans="1:9" ht="30" x14ac:dyDescent="0.25">
      <c r="A16" s="147" t="s">
        <v>1130</v>
      </c>
      <c r="B16" s="148">
        <v>1</v>
      </c>
      <c r="C16" s="200" t="s">
        <v>1396</v>
      </c>
      <c r="D16" s="200" t="s">
        <v>1405</v>
      </c>
      <c r="E16" s="146"/>
      <c r="F16" s="146" t="s">
        <v>247</v>
      </c>
      <c r="G16" s="148">
        <v>1</v>
      </c>
      <c r="H16" s="200" t="s">
        <v>735</v>
      </c>
      <c r="I16" s="204" t="s">
        <v>1406</v>
      </c>
    </row>
    <row r="17" spans="1:9" ht="30" x14ac:dyDescent="0.25">
      <c r="A17" s="147" t="s">
        <v>1131</v>
      </c>
      <c r="B17" s="148">
        <v>1</v>
      </c>
      <c r="C17" s="200" t="s">
        <v>1397</v>
      </c>
      <c r="D17" s="200" t="s">
        <v>1405</v>
      </c>
      <c r="E17" s="146"/>
      <c r="F17" s="146" t="s">
        <v>239</v>
      </c>
      <c r="G17" s="148">
        <v>1</v>
      </c>
      <c r="H17" s="200" t="s">
        <v>1824</v>
      </c>
      <c r="I17" s="204" t="s">
        <v>1406</v>
      </c>
    </row>
    <row r="18" spans="1:9" ht="90" x14ac:dyDescent="0.25">
      <c r="A18" s="147" t="s">
        <v>1132</v>
      </c>
      <c r="B18" s="148">
        <v>1</v>
      </c>
      <c r="C18" s="200" t="s">
        <v>1407</v>
      </c>
      <c r="D18" s="200" t="s">
        <v>1406</v>
      </c>
      <c r="E18" s="146"/>
      <c r="F18" s="146" t="s">
        <v>238</v>
      </c>
      <c r="G18" s="148">
        <v>1</v>
      </c>
      <c r="H18" s="200" t="s">
        <v>911</v>
      </c>
      <c r="I18" s="204" t="s">
        <v>1406</v>
      </c>
    </row>
    <row r="19" spans="1:9" ht="30" x14ac:dyDescent="0.25">
      <c r="A19" s="147" t="s">
        <v>1133</v>
      </c>
      <c r="B19" s="148">
        <v>1</v>
      </c>
      <c r="C19" s="200" t="s">
        <v>1398</v>
      </c>
      <c r="D19" s="200" t="s">
        <v>1405</v>
      </c>
      <c r="F19" s="146" t="s">
        <v>1156</v>
      </c>
      <c r="G19" s="148">
        <v>2</v>
      </c>
      <c r="H19" s="200" t="s">
        <v>1250</v>
      </c>
      <c r="I19" s="204" t="s">
        <v>1406</v>
      </c>
    </row>
    <row r="20" spans="1:9" x14ac:dyDescent="0.25">
      <c r="A20" s="147" t="s">
        <v>1134</v>
      </c>
      <c r="B20" s="148">
        <v>1</v>
      </c>
      <c r="C20" s="200" t="s">
        <v>1458</v>
      </c>
      <c r="D20" s="200" t="s">
        <v>1406</v>
      </c>
      <c r="E20" s="146"/>
      <c r="F20" s="202" t="s">
        <v>741</v>
      </c>
      <c r="G20" s="203">
        <v>2</v>
      </c>
      <c r="H20" s="200" t="s">
        <v>742</v>
      </c>
      <c r="I20" s="204" t="s">
        <v>1406</v>
      </c>
    </row>
    <row r="21" spans="1:9" ht="45" x14ac:dyDescent="0.25">
      <c r="A21" s="147" t="s">
        <v>1135</v>
      </c>
      <c r="B21" s="148">
        <v>1</v>
      </c>
      <c r="C21" s="200" t="s">
        <v>1257</v>
      </c>
      <c r="D21" s="200" t="s">
        <v>1405</v>
      </c>
      <c r="E21" s="146"/>
      <c r="F21" s="146" t="s">
        <v>1157</v>
      </c>
      <c r="G21" s="148">
        <v>2</v>
      </c>
      <c r="H21" s="200" t="s">
        <v>912</v>
      </c>
      <c r="I21" s="204" t="s">
        <v>1406</v>
      </c>
    </row>
    <row r="22" spans="1:9" x14ac:dyDescent="0.25">
      <c r="A22" s="147" t="s">
        <v>1136</v>
      </c>
      <c r="B22" s="148">
        <v>1</v>
      </c>
      <c r="C22" s="200" t="s">
        <v>1399</v>
      </c>
      <c r="D22" s="200" t="s">
        <v>1405</v>
      </c>
      <c r="F22" s="146" t="s">
        <v>1158</v>
      </c>
      <c r="G22" s="148">
        <v>2</v>
      </c>
      <c r="H22" s="200" t="s">
        <v>736</v>
      </c>
      <c r="I22" s="204" t="s">
        <v>1406</v>
      </c>
    </row>
    <row r="23" spans="1:9" x14ac:dyDescent="0.25">
      <c r="A23" s="147" t="s">
        <v>1137</v>
      </c>
      <c r="B23" s="148">
        <v>1</v>
      </c>
      <c r="C23" s="200" t="s">
        <v>1400</v>
      </c>
      <c r="D23" s="200" t="s">
        <v>1405</v>
      </c>
      <c r="E23" s="146"/>
      <c r="F23" s="146" t="s">
        <v>1159</v>
      </c>
      <c r="G23" s="148">
        <v>2</v>
      </c>
      <c r="H23" s="200" t="s">
        <v>737</v>
      </c>
      <c r="I23" s="204" t="s">
        <v>1406</v>
      </c>
    </row>
    <row r="24" spans="1:9" ht="30" x14ac:dyDescent="0.25">
      <c r="A24" s="147" t="s">
        <v>1138</v>
      </c>
      <c r="B24" s="148">
        <v>1</v>
      </c>
      <c r="C24" s="200" t="s">
        <v>1401</v>
      </c>
      <c r="D24" s="200" t="s">
        <v>1405</v>
      </c>
      <c r="F24" s="146" t="s">
        <v>1160</v>
      </c>
      <c r="G24" s="148">
        <v>2</v>
      </c>
      <c r="H24" s="200" t="s">
        <v>1822</v>
      </c>
      <c r="I24" s="204" t="s">
        <v>1406</v>
      </c>
    </row>
    <row r="25" spans="1:9" ht="36.75" customHeight="1" x14ac:dyDescent="0.25">
      <c r="A25" s="146" t="s">
        <v>1112</v>
      </c>
      <c r="B25" s="148">
        <v>1</v>
      </c>
      <c r="C25" s="200" t="s">
        <v>1113</v>
      </c>
      <c r="D25" s="200" t="s">
        <v>1408</v>
      </c>
      <c r="E25" s="146"/>
      <c r="F25" s="147" t="s">
        <v>241</v>
      </c>
      <c r="G25" s="148">
        <v>2</v>
      </c>
      <c r="H25" s="200" t="s">
        <v>1251</v>
      </c>
      <c r="I25" s="204" t="s">
        <v>1405</v>
      </c>
    </row>
    <row r="26" spans="1:9" ht="30" x14ac:dyDescent="0.25">
      <c r="A26" s="147" t="s">
        <v>1139</v>
      </c>
      <c r="B26" s="148">
        <v>1</v>
      </c>
      <c r="C26" s="200" t="s">
        <v>1402</v>
      </c>
      <c r="D26" s="200" t="s">
        <v>1405</v>
      </c>
      <c r="F26" s="146" t="s">
        <v>1164</v>
      </c>
      <c r="G26" s="148">
        <v>2</v>
      </c>
      <c r="H26" s="200" t="s">
        <v>1252</v>
      </c>
      <c r="I26" s="204" t="s">
        <v>1405</v>
      </c>
    </row>
    <row r="27" spans="1:9" x14ac:dyDescent="0.25">
      <c r="A27" s="147" t="s">
        <v>1140</v>
      </c>
      <c r="B27" s="148">
        <v>1</v>
      </c>
      <c r="C27" s="200" t="s">
        <v>1403</v>
      </c>
      <c r="D27" s="200" t="s">
        <v>1405</v>
      </c>
      <c r="E27" s="146"/>
      <c r="F27" s="146" t="s">
        <v>244</v>
      </c>
      <c r="G27" s="148">
        <v>2</v>
      </c>
      <c r="H27" s="200" t="s">
        <v>738</v>
      </c>
      <c r="I27" s="204" t="s">
        <v>1406</v>
      </c>
    </row>
    <row r="28" spans="1:9" ht="45" x14ac:dyDescent="0.25">
      <c r="A28" s="147" t="s">
        <v>1141</v>
      </c>
      <c r="B28" s="148">
        <v>1</v>
      </c>
      <c r="C28" s="200" t="s">
        <v>848</v>
      </c>
      <c r="D28" s="200" t="s">
        <v>1408</v>
      </c>
      <c r="E28" s="146"/>
      <c r="F28" s="147" t="s">
        <v>1565</v>
      </c>
      <c r="G28" s="203">
        <v>2</v>
      </c>
      <c r="H28" s="200" t="s">
        <v>1566</v>
      </c>
      <c r="I28" s="204" t="s">
        <v>1406</v>
      </c>
    </row>
    <row r="29" spans="1:9" ht="36" customHeight="1" x14ac:dyDescent="0.25">
      <c r="A29" s="147" t="s">
        <v>1142</v>
      </c>
      <c r="B29" s="148">
        <v>1</v>
      </c>
      <c r="C29" s="200" t="s">
        <v>1459</v>
      </c>
      <c r="D29" s="200" t="s">
        <v>1408</v>
      </c>
      <c r="F29" s="147" t="s">
        <v>243</v>
      </c>
      <c r="G29" s="148">
        <v>2</v>
      </c>
      <c r="H29" s="200" t="s">
        <v>1253</v>
      </c>
      <c r="I29" s="204" t="s">
        <v>1405</v>
      </c>
    </row>
    <row r="30" spans="1:9" x14ac:dyDescent="0.25">
      <c r="A30" s="147" t="s">
        <v>1143</v>
      </c>
      <c r="B30" s="148">
        <v>1</v>
      </c>
      <c r="C30" s="200" t="s">
        <v>1409</v>
      </c>
      <c r="D30" s="200" t="s">
        <v>1405</v>
      </c>
      <c r="E30" s="146"/>
      <c r="F30" s="202" t="s">
        <v>743</v>
      </c>
      <c r="G30" s="203">
        <v>2</v>
      </c>
      <c r="H30" s="200" t="s">
        <v>1821</v>
      </c>
      <c r="I30" s="204" t="s">
        <v>1406</v>
      </c>
    </row>
    <row r="31" spans="1:9" ht="45" x14ac:dyDescent="0.25">
      <c r="A31" s="147" t="s">
        <v>1144</v>
      </c>
      <c r="B31" s="148">
        <v>1</v>
      </c>
      <c r="C31" s="200" t="s">
        <v>1111</v>
      </c>
      <c r="D31" s="200" t="s">
        <v>1406</v>
      </c>
      <c r="E31" s="146"/>
      <c r="F31" s="146" t="s">
        <v>232</v>
      </c>
      <c r="G31" s="148">
        <v>2</v>
      </c>
      <c r="H31" s="200" t="s">
        <v>1254</v>
      </c>
      <c r="I31" s="204" t="s">
        <v>1405</v>
      </c>
    </row>
    <row r="32" spans="1:9" x14ac:dyDescent="0.25">
      <c r="A32" s="147" t="s">
        <v>1145</v>
      </c>
      <c r="B32" s="148">
        <v>1</v>
      </c>
      <c r="C32" s="200" t="s">
        <v>1410</v>
      </c>
      <c r="D32" s="200" t="s">
        <v>1405</v>
      </c>
      <c r="E32" s="146"/>
      <c r="F32" s="146" t="s">
        <v>236</v>
      </c>
      <c r="G32" s="148">
        <v>2</v>
      </c>
      <c r="H32" s="200" t="s">
        <v>1255</v>
      </c>
      <c r="I32" s="204" t="s">
        <v>1406</v>
      </c>
    </row>
    <row r="33" spans="1:9" x14ac:dyDescent="0.25">
      <c r="A33" s="147" t="s">
        <v>1146</v>
      </c>
      <c r="B33" s="148">
        <v>1</v>
      </c>
      <c r="C33" s="200" t="s">
        <v>1411</v>
      </c>
      <c r="D33" s="200" t="s">
        <v>1405</v>
      </c>
      <c r="E33" s="146"/>
      <c r="F33" s="146" t="s">
        <v>237</v>
      </c>
      <c r="G33" s="148">
        <v>2</v>
      </c>
      <c r="H33" s="200" t="s">
        <v>740</v>
      </c>
      <c r="I33" s="204" t="s">
        <v>1406</v>
      </c>
    </row>
    <row r="34" spans="1:9" x14ac:dyDescent="0.25">
      <c r="A34" s="147" t="s">
        <v>1147</v>
      </c>
      <c r="B34" s="148">
        <v>1</v>
      </c>
      <c r="C34" s="200" t="s">
        <v>1412</v>
      </c>
      <c r="D34" s="200" t="s">
        <v>1405</v>
      </c>
      <c r="F34" s="147" t="s">
        <v>240</v>
      </c>
      <c r="G34" s="148">
        <v>2</v>
      </c>
      <c r="H34" s="200" t="s">
        <v>1256</v>
      </c>
      <c r="I34" s="204" t="s">
        <v>1405</v>
      </c>
    </row>
    <row r="35" spans="1:9" x14ac:dyDescent="0.25">
      <c r="A35" s="147" t="s">
        <v>1148</v>
      </c>
      <c r="B35" s="148">
        <v>1</v>
      </c>
      <c r="C35" s="200" t="s">
        <v>1413</v>
      </c>
      <c r="D35" s="200" t="s">
        <v>1405</v>
      </c>
      <c r="E35" s="146"/>
      <c r="F35" s="147" t="s">
        <v>242</v>
      </c>
      <c r="G35" s="148">
        <v>2</v>
      </c>
      <c r="H35" s="200" t="s">
        <v>1258</v>
      </c>
      <c r="I35" s="204" t="s">
        <v>1405</v>
      </c>
    </row>
    <row r="36" spans="1:9" ht="30" x14ac:dyDescent="0.25">
      <c r="A36" s="147" t="s">
        <v>1149</v>
      </c>
      <c r="B36" s="148">
        <v>1</v>
      </c>
      <c r="C36" s="200" t="s">
        <v>1414</v>
      </c>
      <c r="D36" s="200" t="s">
        <v>1405</v>
      </c>
      <c r="F36" s="146" t="s">
        <v>245</v>
      </c>
      <c r="G36" s="148">
        <v>2</v>
      </c>
      <c r="H36" s="200" t="s">
        <v>246</v>
      </c>
      <c r="I36" s="204" t="s">
        <v>1405</v>
      </c>
    </row>
    <row r="37" spans="1:9" x14ac:dyDescent="0.25">
      <c r="A37" s="146" t="s">
        <v>1352</v>
      </c>
      <c r="B37" s="148">
        <v>1</v>
      </c>
      <c r="C37" s="200" t="s">
        <v>1083</v>
      </c>
      <c r="D37" s="200" t="s">
        <v>1406</v>
      </c>
      <c r="E37" s="146"/>
      <c r="F37" s="146"/>
      <c r="G37" s="148"/>
      <c r="I37" s="204"/>
    </row>
    <row r="38" spans="1:9" ht="30" x14ac:dyDescent="0.25">
      <c r="A38" s="146" t="s">
        <v>1350</v>
      </c>
      <c r="B38" s="148">
        <v>2</v>
      </c>
      <c r="C38" s="200" t="s">
        <v>1351</v>
      </c>
      <c r="D38" s="200" t="s">
        <v>1406</v>
      </c>
      <c r="E38" s="146"/>
      <c r="F38" s="146"/>
      <c r="G38" s="148"/>
      <c r="I38" s="204"/>
    </row>
    <row r="39" spans="1:9" x14ac:dyDescent="0.25">
      <c r="A39" s="146" t="s">
        <v>1114</v>
      </c>
      <c r="B39" s="148">
        <v>2</v>
      </c>
      <c r="C39" s="200" t="s">
        <v>1115</v>
      </c>
      <c r="D39" s="200" t="s">
        <v>1406</v>
      </c>
      <c r="E39" s="146"/>
      <c r="F39" s="146"/>
      <c r="G39" s="148"/>
      <c r="I39" s="204"/>
    </row>
    <row r="40" spans="1:9" x14ac:dyDescent="0.25">
      <c r="A40" s="202" t="s">
        <v>1415</v>
      </c>
      <c r="B40" s="203">
        <v>2</v>
      </c>
      <c r="C40" s="200" t="s">
        <v>160</v>
      </c>
      <c r="D40" s="200" t="s">
        <v>1406</v>
      </c>
      <c r="F40" s="202"/>
      <c r="G40" s="203"/>
      <c r="I40" s="204"/>
    </row>
    <row r="41" spans="1:9" x14ac:dyDescent="0.25">
      <c r="A41" s="146"/>
      <c r="B41" s="148"/>
      <c r="D41" s="200"/>
      <c r="F41" s="146"/>
      <c r="G41" s="148"/>
      <c r="I41" s="204"/>
    </row>
    <row r="42" spans="1:9" x14ac:dyDescent="0.25">
      <c r="A42" s="146"/>
      <c r="B42" s="148"/>
      <c r="D42" s="200"/>
      <c r="F42" s="146"/>
      <c r="G42" s="148"/>
      <c r="I42" s="204"/>
    </row>
    <row r="43" spans="1:9" x14ac:dyDescent="0.25">
      <c r="A43" s="146"/>
      <c r="B43" s="148"/>
      <c r="D43" s="200"/>
      <c r="F43" s="202"/>
      <c r="G43" s="203"/>
      <c r="I43" s="204"/>
    </row>
    <row r="44" spans="1:9" x14ac:dyDescent="0.25">
      <c r="A44" s="202"/>
      <c r="B44" s="203"/>
      <c r="F44" s="146"/>
      <c r="G44" s="148"/>
      <c r="I44" s="204"/>
    </row>
    <row r="45" spans="1:9" x14ac:dyDescent="0.25">
      <c r="A45" s="146"/>
      <c r="B45" s="148"/>
      <c r="F45" s="146"/>
      <c r="G45" s="148"/>
      <c r="I45" s="204"/>
    </row>
    <row r="46" spans="1:9" x14ac:dyDescent="0.25">
      <c r="F46" s="146"/>
      <c r="G46" s="148"/>
      <c r="I46" s="204"/>
    </row>
    <row r="47" spans="1:9" x14ac:dyDescent="0.25">
      <c r="F47" s="146"/>
      <c r="G47" s="148"/>
      <c r="I47" s="204"/>
    </row>
    <row r="48" spans="1:9" x14ac:dyDescent="0.25">
      <c r="F48" s="146"/>
      <c r="G48" s="148"/>
      <c r="I48" s="204"/>
    </row>
    <row r="49" spans="6:9" x14ac:dyDescent="0.25">
      <c r="F49" s="146"/>
      <c r="G49" s="148"/>
      <c r="I49" s="204"/>
    </row>
    <row r="50" spans="6:9" x14ac:dyDescent="0.25">
      <c r="F50" s="146"/>
      <c r="G50" s="148"/>
      <c r="I50" s="204"/>
    </row>
    <row r="51" spans="6:9" x14ac:dyDescent="0.25">
      <c r="F51" s="202"/>
      <c r="G51" s="203"/>
      <c r="I51" s="204"/>
    </row>
    <row r="52" spans="6:9" x14ac:dyDescent="0.25">
      <c r="F52" s="146"/>
      <c r="G52" s="148"/>
      <c r="I52" s="204"/>
    </row>
    <row r="53" spans="6:9" x14ac:dyDescent="0.25">
      <c r="F53" s="146"/>
      <c r="G53" s="148"/>
      <c r="I53" s="204"/>
    </row>
    <row r="54" spans="6:9" x14ac:dyDescent="0.25">
      <c r="F54" s="146"/>
      <c r="G54" s="148"/>
      <c r="I54" s="204"/>
    </row>
    <row r="55" spans="6:9" x14ac:dyDescent="0.25">
      <c r="F55" s="146"/>
      <c r="G55" s="148"/>
      <c r="I55" s="204"/>
    </row>
    <row r="56" spans="6:9" x14ac:dyDescent="0.25">
      <c r="F56" s="146"/>
      <c r="G56" s="148"/>
      <c r="I56" s="204"/>
    </row>
    <row r="57" spans="6:9" x14ac:dyDescent="0.25">
      <c r="F57" s="146"/>
      <c r="G57" s="148"/>
      <c r="I57" s="204"/>
    </row>
    <row r="58" spans="6:9" x14ac:dyDescent="0.25">
      <c r="F58" s="146"/>
      <c r="G58" s="148"/>
      <c r="I58" s="204"/>
    </row>
    <row r="59" spans="6:9" x14ac:dyDescent="0.25">
      <c r="F59" s="146"/>
      <c r="G59" s="148"/>
      <c r="I59" s="204"/>
    </row>
    <row r="60" spans="6:9" x14ac:dyDescent="0.25">
      <c r="F60" s="149"/>
      <c r="G60" s="148"/>
      <c r="I60" s="204"/>
    </row>
    <row r="61" spans="6:9" x14ac:dyDescent="0.25">
      <c r="F61" s="146"/>
      <c r="G61" s="148"/>
      <c r="I61" s="204"/>
    </row>
    <row r="62" spans="6:9" x14ac:dyDescent="0.25">
      <c r="F62" s="146"/>
      <c r="G62" s="148"/>
      <c r="I62" s="204"/>
    </row>
  </sheetData>
  <phoneticPr fontId="6" type="noConversion"/>
  <pageMargins left="0.75" right="0.75" top="1" bottom="1" header="0.5" footer="0.5"/>
  <pageSetup paperSize="9" orientation="portrait" horizontalDpi="4294967293" vertic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14</vt:i4>
      </vt:variant>
      <vt:variant>
        <vt:lpstr>Névvel ellátott tartományok</vt:lpstr>
      </vt:variant>
      <vt:variant>
        <vt:i4>18</vt:i4>
      </vt:variant>
    </vt:vector>
  </HeadingPairs>
  <TitlesOfParts>
    <vt:vector size="32" baseType="lpstr">
      <vt:lpstr>Használati útmutató</vt:lpstr>
      <vt:lpstr>Karakterlap</vt:lpstr>
      <vt:lpstr>Szarmaztatas</vt:lpstr>
      <vt:lpstr>EH</vt:lpstr>
      <vt:lpstr>Nyomtatható</vt:lpstr>
      <vt:lpstr>Előnyök</vt:lpstr>
      <vt:lpstr>Hátrányok</vt:lpstr>
      <vt:lpstr>Kapcsolati tábla</vt:lpstr>
      <vt:lpstr>Fókuszeszköz</vt:lpstr>
      <vt:lpstr>Tapasztalati pontok</vt:lpstr>
      <vt:lpstr>Alképzettségek</vt:lpstr>
      <vt:lpstr>Célszámok és fáradás</vt:lpstr>
      <vt:lpstr>Előtörténet</vt:lpstr>
      <vt:lpstr>Változtatni!</vt:lpstr>
      <vt:lpstr>bazis</vt:lpstr>
      <vt:lpstr>bazis2</vt:lpstr>
      <vt:lpstr>ejleny</vt:lpstr>
      <vt:lpstr>ejlenye</vt:lpstr>
      <vt:lpstr>ejlenyh</vt:lpstr>
      <vt:lpstr>embere</vt:lpstr>
      <vt:lpstr>emberh</vt:lpstr>
      <vt:lpstr>geno</vt:lpstr>
      <vt:lpstr>hordozo</vt:lpstr>
      <vt:lpstr>jovo1</vt:lpstr>
      <vt:lpstr>jovo2</vt:lpstr>
      <vt:lpstr>kepzett</vt:lpstr>
      <vt:lpstr>koncepte</vt:lpstr>
      <vt:lpstr>koncepth</vt:lpstr>
      <vt:lpstr>Nyomtatható!Nyomtatási_terület</vt:lpstr>
      <vt:lpstr>szarmazas</vt:lpstr>
      <vt:lpstr>szuletett</vt:lpstr>
      <vt:lpstr>tul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Zsana</dc:creator>
  <cp:lastModifiedBy>Sarkadi Katalin</cp:lastModifiedBy>
  <cp:lastPrinted>2016-10-14T20:43:58Z</cp:lastPrinted>
  <dcterms:created xsi:type="dcterms:W3CDTF">2014-03-30T21:39:19Z</dcterms:created>
  <dcterms:modified xsi:type="dcterms:W3CDTF">2022-07-31T10:05:52Z</dcterms:modified>
</cp:coreProperties>
</file>